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6675" windowHeight="5430" tabRatio="810" firstSheet="8" activeTab="23"/>
  </bookViews>
  <sheets>
    <sheet name="zużycie całkowite i emisja" sheetId="1" r:id="rId1"/>
    <sheet name="oświetlenie" sheetId="2" r:id="rId2"/>
    <sheet name="publiczne" sheetId="3" r:id="rId3"/>
    <sheet name="transport gminny" sheetId="30" r:id="rId4"/>
    <sheet name="mieszkalne" sheetId="5" r:id="rId5"/>
    <sheet name="handel usługi przed." sheetId="6" r:id="rId6"/>
    <sheet name="przemysłowe" sheetId="31" r:id="rId7"/>
    <sheet name="zestawienie zużycie" sheetId="8" r:id="rId8"/>
    <sheet name="zestawienie emisja CO2" sheetId="9" r:id="rId9"/>
    <sheet name="zestawienie emisja SO2" sheetId="27" r:id="rId10"/>
    <sheet name="zestawienie emisja NOx" sheetId="28" r:id="rId11"/>
    <sheet name="zestawienie emisja PM10" sheetId="13" r:id="rId12"/>
    <sheet name="zestawienie emisja PM2,5" sheetId="14" r:id="rId13"/>
    <sheet name="zestawienie emisja B(a)P" sheetId="15" r:id="rId14"/>
    <sheet name="zadanie 10" sheetId="32" r:id="rId15"/>
    <sheet name="zadanie 11" sheetId="33" r:id="rId16"/>
    <sheet name="zadanie 12" sheetId="36" r:id="rId17"/>
    <sheet name="zadanie 13" sheetId="40" r:id="rId18"/>
    <sheet name="zadanie 14, 15" sheetId="18" r:id="rId19"/>
    <sheet name="zadanie 16" sheetId="17" r:id="rId20"/>
    <sheet name="zadanie 17" sheetId="20" r:id="rId21"/>
    <sheet name="zadanie 18" sheetId="21" r:id="rId22"/>
    <sheet name="zadanie 19" sheetId="22" r:id="rId23"/>
    <sheet name="SUMY EFEKTÓW DLA DZIAŁAŃ" sheetId="16" r:id="rId24"/>
  </sheets>
  <definedNames>
    <definedName name="_Hlk457390497" localSheetId="23">'SUMY EFEKTÓW DLA DZIAŁAŃ'!$A$14</definedName>
  </definedNames>
  <calcPr calcId="145621"/>
</workbook>
</file>

<file path=xl/calcChain.xml><?xml version="1.0" encoding="utf-8"?>
<calcChain xmlns="http://schemas.openxmlformats.org/spreadsheetml/2006/main">
  <c r="M25" i="16" l="1"/>
  <c r="C4" i="16"/>
  <c r="D4" i="16"/>
  <c r="E4" i="16"/>
  <c r="F4" i="16"/>
  <c r="G4" i="16"/>
  <c r="H4" i="16"/>
  <c r="B4" i="16"/>
  <c r="C7" i="16"/>
  <c r="D7" i="16"/>
  <c r="E7" i="16"/>
  <c r="F7" i="16"/>
  <c r="G7" i="16"/>
  <c r="H7" i="16"/>
  <c r="B7" i="16"/>
  <c r="I5" i="40"/>
  <c r="H5" i="40"/>
  <c r="G5" i="40"/>
  <c r="F5" i="40"/>
  <c r="E5" i="40"/>
  <c r="D5" i="40"/>
  <c r="B3" i="40"/>
  <c r="B4" i="40" s="1"/>
  <c r="B7" i="40" s="1"/>
  <c r="I5" i="32"/>
  <c r="I13" i="32"/>
  <c r="H5" i="32"/>
  <c r="H13" i="32"/>
  <c r="G5" i="32"/>
  <c r="G13" i="32"/>
  <c r="F5" i="32"/>
  <c r="F13" i="32"/>
  <c r="F15" i="32" s="1"/>
  <c r="E5" i="32"/>
  <c r="E13" i="32"/>
  <c r="E15" i="32" s="1"/>
  <c r="D5" i="32"/>
  <c r="D13" i="32"/>
  <c r="D15" i="32" s="1"/>
  <c r="F23" i="32"/>
  <c r="G23" i="32"/>
  <c r="H23" i="32"/>
  <c r="I23" i="32"/>
  <c r="E23" i="32"/>
  <c r="D23" i="32"/>
  <c r="C23" i="32"/>
  <c r="I21" i="32"/>
  <c r="H21" i="32"/>
  <c r="G21" i="32"/>
  <c r="F21" i="32"/>
  <c r="E21" i="32"/>
  <c r="D21" i="32"/>
  <c r="H15" i="32"/>
  <c r="C15" i="32"/>
  <c r="B15" i="32" s="1"/>
  <c r="B23" i="32"/>
  <c r="I7" i="40" l="1"/>
  <c r="E7" i="40"/>
  <c r="G7" i="40"/>
  <c r="C7" i="40"/>
  <c r="D7" i="40" s="1"/>
  <c r="F7" i="40"/>
  <c r="H7" i="40"/>
  <c r="G15" i="32"/>
  <c r="I15" i="32"/>
  <c r="M10" i="1" l="1"/>
  <c r="L10" i="1"/>
  <c r="M9" i="1"/>
  <c r="M3" i="1"/>
  <c r="C52" i="18" l="1"/>
  <c r="C58" i="18"/>
  <c r="C10" i="21"/>
  <c r="B10" i="21"/>
  <c r="C11" i="21"/>
  <c r="B11" i="21" s="1"/>
  <c r="C57" i="18"/>
  <c r="C56" i="18"/>
  <c r="C55" i="18"/>
  <c r="C54" i="18"/>
  <c r="C53" i="18"/>
  <c r="B12" i="16"/>
  <c r="I12" i="16" s="1"/>
  <c r="C45" i="16"/>
  <c r="B45" i="16"/>
  <c r="D9" i="16"/>
  <c r="E9" i="16"/>
  <c r="L9" i="16" s="1"/>
  <c r="H8" i="16"/>
  <c r="H9" i="16"/>
  <c r="B11" i="22"/>
  <c r="C11" i="22" s="1"/>
  <c r="B10" i="22"/>
  <c r="C10" i="22" s="1"/>
  <c r="B13" i="16" s="1"/>
  <c r="C11" i="20"/>
  <c r="B11" i="20" s="1"/>
  <c r="C10" i="20"/>
  <c r="B11" i="16" s="1"/>
  <c r="C13" i="17"/>
  <c r="B13" i="17"/>
  <c r="B12" i="17"/>
  <c r="C12" i="17" s="1"/>
  <c r="B10" i="16" s="1"/>
  <c r="I10" i="16" s="1"/>
  <c r="C51" i="18"/>
  <c r="D52" i="18"/>
  <c r="D53" i="18"/>
  <c r="D54" i="18"/>
  <c r="D55" i="18"/>
  <c r="D56" i="18"/>
  <c r="D57" i="18"/>
  <c r="D58" i="18"/>
  <c r="D51" i="18"/>
  <c r="D42" i="18"/>
  <c r="D43" i="18"/>
  <c r="B9" i="16" s="1"/>
  <c r="I9" i="16" s="1"/>
  <c r="D44" i="18"/>
  <c r="C9" i="16" s="1"/>
  <c r="D45" i="18"/>
  <c r="D46" i="18"/>
  <c r="D47" i="18"/>
  <c r="F9" i="16" s="1"/>
  <c r="M9" i="16" s="1"/>
  <c r="D48" i="18"/>
  <c r="G9" i="16" s="1"/>
  <c r="D49" i="18"/>
  <c r="C43" i="18"/>
  <c r="B8" i="16" s="1"/>
  <c r="C44" i="18"/>
  <c r="C8" i="16" s="1"/>
  <c r="C45" i="18"/>
  <c r="D8" i="16" s="1"/>
  <c r="C46" i="18"/>
  <c r="E8" i="16" s="1"/>
  <c r="L8" i="16" s="1"/>
  <c r="C47" i="18"/>
  <c r="F8" i="16" s="1"/>
  <c r="C48" i="18"/>
  <c r="G8" i="16" s="1"/>
  <c r="N8" i="16" s="1"/>
  <c r="C49" i="18"/>
  <c r="C42" i="18"/>
  <c r="B6" i="18"/>
  <c r="B9" i="18"/>
  <c r="B10" i="18"/>
  <c r="B11" i="18"/>
  <c r="C6" i="18"/>
  <c r="C9" i="18"/>
  <c r="C10" i="18"/>
  <c r="C11" i="18"/>
  <c r="C31" i="18"/>
  <c r="D6" i="18"/>
  <c r="D9" i="18"/>
  <c r="D10" i="18"/>
  <c r="D11" i="18"/>
  <c r="D31" i="18"/>
  <c r="B3" i="17"/>
  <c r="B4" i="17"/>
  <c r="J7" i="28"/>
  <c r="B24" i="28" s="1"/>
  <c r="J8" i="28"/>
  <c r="B25" i="28" s="1"/>
  <c r="J7" i="27"/>
  <c r="J8" i="27"/>
  <c r="F34" i="1"/>
  <c r="F86" i="1" s="1"/>
  <c r="F36" i="1"/>
  <c r="F142" i="1" s="1"/>
  <c r="F6" i="15" s="1"/>
  <c r="F54" i="15" s="1"/>
  <c r="F33" i="1"/>
  <c r="E34" i="1"/>
  <c r="E86" i="1" s="1"/>
  <c r="E4" i="28" s="1"/>
  <c r="E33" i="1"/>
  <c r="E85" i="1" s="1"/>
  <c r="D34" i="1"/>
  <c r="D36" i="1"/>
  <c r="D40" i="1" s="1"/>
  <c r="D33" i="1"/>
  <c r="D85" i="1" s="1"/>
  <c r="C36" i="1"/>
  <c r="C106" i="1" s="1"/>
  <c r="C33" i="1"/>
  <c r="C67" i="1" s="1"/>
  <c r="B34" i="1"/>
  <c r="B140" i="1" s="1"/>
  <c r="B4" i="15" s="1"/>
  <c r="B52" i="15" s="1"/>
  <c r="B35" i="1"/>
  <c r="B36" i="1"/>
  <c r="B106" i="1" s="1"/>
  <c r="B6" i="13" s="1"/>
  <c r="B39" i="1"/>
  <c r="B145" i="1" s="1"/>
  <c r="B9" i="15" s="1"/>
  <c r="B57" i="15" s="1"/>
  <c r="J57" i="15" s="1"/>
  <c r="B74" i="15" s="1"/>
  <c r="B33" i="1"/>
  <c r="D67" i="1"/>
  <c r="D3" i="27" s="1"/>
  <c r="E67" i="1"/>
  <c r="F67" i="1"/>
  <c r="F85" i="1"/>
  <c r="F3" i="28" s="1"/>
  <c r="D103" i="1"/>
  <c r="D3" i="13" s="1"/>
  <c r="F103" i="1"/>
  <c r="D121" i="1"/>
  <c r="D3" i="14" s="1"/>
  <c r="E121" i="1"/>
  <c r="E3" i="14" s="1"/>
  <c r="F121" i="1"/>
  <c r="F139" i="1"/>
  <c r="F3" i="15" s="1"/>
  <c r="I8" i="21"/>
  <c r="I5" i="33"/>
  <c r="I5" i="36"/>
  <c r="B27" i="18"/>
  <c r="C27" i="18"/>
  <c r="C37" i="18"/>
  <c r="D27" i="18"/>
  <c r="D37" i="18"/>
  <c r="H8" i="21"/>
  <c r="H5" i="33"/>
  <c r="H5" i="36"/>
  <c r="B26" i="18"/>
  <c r="C26" i="18"/>
  <c r="C36" i="18"/>
  <c r="D26" i="18"/>
  <c r="D36" i="18"/>
  <c r="G8" i="21"/>
  <c r="G5" i="33"/>
  <c r="G5" i="36"/>
  <c r="B25" i="18"/>
  <c r="C25" i="18"/>
  <c r="C35" i="18"/>
  <c r="D25" i="18"/>
  <c r="D35" i="18"/>
  <c r="F8" i="21"/>
  <c r="F5" i="33"/>
  <c r="F5" i="36"/>
  <c r="B24" i="18"/>
  <c r="C24" i="18"/>
  <c r="C34" i="18"/>
  <c r="D24" i="18"/>
  <c r="D34" i="18"/>
  <c r="E8" i="21"/>
  <c r="B23" i="18"/>
  <c r="C23" i="18"/>
  <c r="C33" i="18"/>
  <c r="D23" i="18"/>
  <c r="D33" i="18"/>
  <c r="B22" i="18"/>
  <c r="C22" i="18"/>
  <c r="C32" i="18"/>
  <c r="D22" i="18"/>
  <c r="D32" i="18"/>
  <c r="D8" i="21"/>
  <c r="D11" i="21" s="1"/>
  <c r="B3" i="36"/>
  <c r="B4" i="36" s="1"/>
  <c r="B7" i="36" s="1"/>
  <c r="E5" i="36"/>
  <c r="D5" i="36"/>
  <c r="B3" i="33"/>
  <c r="B4" i="33"/>
  <c r="B7" i="33" s="1"/>
  <c r="E5" i="33"/>
  <c r="D5" i="33"/>
  <c r="B3" i="32"/>
  <c r="B4" i="32" s="1"/>
  <c r="B7" i="32" s="1"/>
  <c r="F3" i="13"/>
  <c r="D104" i="1"/>
  <c r="D4" i="13" s="1"/>
  <c r="B105" i="1"/>
  <c r="B5" i="13" s="1"/>
  <c r="J5" i="13" s="1"/>
  <c r="B22" i="13" s="1"/>
  <c r="D106" i="1"/>
  <c r="D6" i="13" s="1"/>
  <c r="F106" i="1"/>
  <c r="F6" i="13"/>
  <c r="J7" i="13"/>
  <c r="B24" i="13" s="1"/>
  <c r="D25" i="13" s="1"/>
  <c r="J8" i="13"/>
  <c r="D86" i="1"/>
  <c r="D4" i="28"/>
  <c r="B87" i="1"/>
  <c r="B5" i="28" s="1"/>
  <c r="J5" i="28" s="1"/>
  <c r="B22" i="28" s="1"/>
  <c r="C88" i="1"/>
  <c r="C6" i="28" s="1"/>
  <c r="D88" i="1"/>
  <c r="D6" i="28" s="1"/>
  <c r="F88" i="1"/>
  <c r="F6" i="28"/>
  <c r="B91" i="1"/>
  <c r="B9" i="28" s="1"/>
  <c r="J9" i="28" s="1"/>
  <c r="B26" i="28" s="1"/>
  <c r="D140" i="1"/>
  <c r="D4" i="15" s="1"/>
  <c r="D52" i="15" s="1"/>
  <c r="E140" i="1"/>
  <c r="E4" i="15" s="1"/>
  <c r="E52" i="15" s="1"/>
  <c r="B141" i="1"/>
  <c r="B5" i="15" s="1"/>
  <c r="J7" i="15"/>
  <c r="J8" i="15"/>
  <c r="B24" i="15"/>
  <c r="B25" i="15"/>
  <c r="G52" i="15"/>
  <c r="H52" i="15"/>
  <c r="G55" i="15"/>
  <c r="H55" i="15"/>
  <c r="I55" i="15"/>
  <c r="J55" i="15" s="1"/>
  <c r="B72" i="15" s="1"/>
  <c r="D73" i="15" s="1"/>
  <c r="H56" i="15"/>
  <c r="J56" i="15"/>
  <c r="B73" i="15"/>
  <c r="G58" i="15"/>
  <c r="H58" i="15"/>
  <c r="I58" i="15"/>
  <c r="I63" i="15" s="1"/>
  <c r="I10" i="15"/>
  <c r="G10" i="15"/>
  <c r="G15" i="15"/>
  <c r="H10" i="15"/>
  <c r="E6" i="15"/>
  <c r="C4" i="15"/>
  <c r="C52" i="15" s="1"/>
  <c r="F3" i="14"/>
  <c r="D122" i="1"/>
  <c r="D4" i="14" s="1"/>
  <c r="F122" i="1"/>
  <c r="F4" i="14" s="1"/>
  <c r="B123" i="1"/>
  <c r="B5" i="14" s="1"/>
  <c r="J5" i="14" s="1"/>
  <c r="B22" i="14" s="1"/>
  <c r="B124" i="1"/>
  <c r="B6" i="14" s="1"/>
  <c r="C124" i="1"/>
  <c r="C6" i="14"/>
  <c r="F124" i="1"/>
  <c r="F6" i="14" s="1"/>
  <c r="B127" i="1"/>
  <c r="B9" i="14" s="1"/>
  <c r="J9" i="14" s="1"/>
  <c r="B26" i="14" s="1"/>
  <c r="J7" i="14"/>
  <c r="B24" i="14"/>
  <c r="J8" i="14"/>
  <c r="B25" i="14" s="1"/>
  <c r="G10" i="14"/>
  <c r="G15" i="14" s="1"/>
  <c r="H10" i="14"/>
  <c r="I10" i="14"/>
  <c r="E3" i="27"/>
  <c r="F3" i="27"/>
  <c r="D68" i="1"/>
  <c r="D4" i="27" s="1"/>
  <c r="E68" i="1"/>
  <c r="F68" i="1"/>
  <c r="F4" i="27" s="1"/>
  <c r="E4" i="27"/>
  <c r="B69" i="1"/>
  <c r="B5" i="27" s="1"/>
  <c r="J5" i="27" s="1"/>
  <c r="B22" i="27" s="1"/>
  <c r="B70" i="1"/>
  <c r="B6" i="27" s="1"/>
  <c r="C70" i="1"/>
  <c r="C6" i="27"/>
  <c r="F70" i="1"/>
  <c r="F6" i="27"/>
  <c r="B73" i="1"/>
  <c r="B9" i="27" s="1"/>
  <c r="J9" i="27" s="1"/>
  <c r="B26" i="27" s="1"/>
  <c r="B24" i="27"/>
  <c r="B25" i="27"/>
  <c r="B25" i="13"/>
  <c r="E6" i="14"/>
  <c r="C4" i="14"/>
  <c r="G10" i="13"/>
  <c r="H10" i="13"/>
  <c r="I10" i="13"/>
  <c r="I15" i="13" s="1"/>
  <c r="C4" i="13"/>
  <c r="C4" i="28"/>
  <c r="E6" i="28"/>
  <c r="G10" i="28"/>
  <c r="H10" i="28"/>
  <c r="I10" i="28"/>
  <c r="G10" i="27"/>
  <c r="H10" i="27"/>
  <c r="I10" i="27"/>
  <c r="E6" i="27"/>
  <c r="C4" i="27"/>
  <c r="C4" i="9"/>
  <c r="E6" i="9"/>
  <c r="E6" i="8"/>
  <c r="C4" i="8"/>
  <c r="C5" i="31"/>
  <c r="D5" i="31"/>
  <c r="E5" i="31"/>
  <c r="F5" i="31"/>
  <c r="C3" i="31"/>
  <c r="D3" i="31"/>
  <c r="E3" i="31"/>
  <c r="F3" i="31"/>
  <c r="E3" i="6"/>
  <c r="E5" i="6"/>
  <c r="D5" i="30"/>
  <c r="C20" i="30" s="1"/>
  <c r="D3" i="30"/>
  <c r="C12" i="30" s="1"/>
  <c r="C5" i="3"/>
  <c r="C3" i="3"/>
  <c r="G105" i="1"/>
  <c r="G92" i="1"/>
  <c r="D20" i="1"/>
  <c r="D3" i="5" s="1"/>
  <c r="C12" i="5" s="1"/>
  <c r="E74" i="1"/>
  <c r="F74" i="1"/>
  <c r="E40" i="1"/>
  <c r="K33" i="1"/>
  <c r="C23" i="1"/>
  <c r="C3" i="6" s="1"/>
  <c r="B12" i="6" s="1"/>
  <c r="D21" i="1"/>
  <c r="D3" i="3" s="1"/>
  <c r="B12" i="3" s="1"/>
  <c r="D23" i="1"/>
  <c r="E21" i="1"/>
  <c r="E4" i="8" s="1"/>
  <c r="F21" i="1"/>
  <c r="F4" i="8" s="1"/>
  <c r="F23" i="1"/>
  <c r="F40" i="1"/>
  <c r="B21" i="1"/>
  <c r="B4" i="8" s="1"/>
  <c r="B22" i="1"/>
  <c r="B5" i="8" s="1"/>
  <c r="J5" i="8" s="1"/>
  <c r="B22" i="8" s="1"/>
  <c r="B23" i="1"/>
  <c r="B6" i="8" s="1"/>
  <c r="B26" i="1"/>
  <c r="B9" i="8" s="1"/>
  <c r="J9" i="8" s="1"/>
  <c r="B26" i="8" s="1"/>
  <c r="J35" i="1"/>
  <c r="J39" i="1"/>
  <c r="C10" i="1"/>
  <c r="D10" i="1"/>
  <c r="E10" i="1"/>
  <c r="F10" i="1"/>
  <c r="G10" i="1"/>
  <c r="H10" i="1"/>
  <c r="I10" i="1"/>
  <c r="B10" i="1"/>
  <c r="B51" i="1"/>
  <c r="B5" i="9" s="1"/>
  <c r="J5" i="9" s="1"/>
  <c r="B22" i="9" s="1"/>
  <c r="H21" i="1"/>
  <c r="H4" i="8" s="1"/>
  <c r="H25" i="1"/>
  <c r="H38" i="1" s="1"/>
  <c r="J38" i="1" s="1"/>
  <c r="H24" i="1"/>
  <c r="G21" i="1"/>
  <c r="B3" i="30" s="1"/>
  <c r="G24" i="1"/>
  <c r="G37" i="1" s="1"/>
  <c r="I24" i="1"/>
  <c r="I37" i="1" s="1"/>
  <c r="I40" i="1" s="1"/>
  <c r="C20" i="1"/>
  <c r="C49" i="1" s="1"/>
  <c r="F20" i="1"/>
  <c r="F3" i="8" s="1"/>
  <c r="E20" i="1"/>
  <c r="E3" i="5" s="1"/>
  <c r="D12" i="5" s="1"/>
  <c r="F49" i="1"/>
  <c r="B20" i="1"/>
  <c r="B49" i="1" s="1"/>
  <c r="H7" i="8"/>
  <c r="H53" i="1"/>
  <c r="H7" i="9" s="1"/>
  <c r="E6" i="13"/>
  <c r="E54" i="15"/>
  <c r="D30" i="18"/>
  <c r="C30" i="18"/>
  <c r="G15" i="27"/>
  <c r="H15" i="27"/>
  <c r="I15" i="27"/>
  <c r="G15" i="28"/>
  <c r="H15" i="28"/>
  <c r="I15" i="28"/>
  <c r="G63" i="15"/>
  <c r="H63" i="15"/>
  <c r="H15" i="15"/>
  <c r="I15" i="15"/>
  <c r="H15" i="14"/>
  <c r="I15" i="14"/>
  <c r="G15" i="13"/>
  <c r="H15" i="13"/>
  <c r="D25" i="27"/>
  <c r="H37" i="1"/>
  <c r="B3" i="2"/>
  <c r="D25" i="15"/>
  <c r="B15" i="16" l="1"/>
  <c r="B27" i="16" s="1"/>
  <c r="J8" i="16"/>
  <c r="I8" i="16"/>
  <c r="I14" i="16" s="1"/>
  <c r="I13" i="16"/>
  <c r="F11" i="21"/>
  <c r="H11" i="21"/>
  <c r="I11" i="21"/>
  <c r="E10" i="21"/>
  <c r="D12" i="16" s="1"/>
  <c r="G10" i="21"/>
  <c r="F12" i="16" s="1"/>
  <c r="I11" i="16"/>
  <c r="B10" i="20"/>
  <c r="K9" i="16"/>
  <c r="O9" i="16"/>
  <c r="N9" i="16"/>
  <c r="J9" i="16"/>
  <c r="M8" i="16"/>
  <c r="K8" i="16"/>
  <c r="O8" i="16"/>
  <c r="F7" i="36"/>
  <c r="E6" i="16" s="1"/>
  <c r="C7" i="36"/>
  <c r="H7" i="36"/>
  <c r="G6" i="16" s="1"/>
  <c r="E7" i="36"/>
  <c r="D6" i="16" s="1"/>
  <c r="I7" i="36"/>
  <c r="H6" i="16" s="1"/>
  <c r="G7" i="36"/>
  <c r="F6" i="16" s="1"/>
  <c r="I7" i="33"/>
  <c r="H5" i="16" s="1"/>
  <c r="G7" i="33"/>
  <c r="F5" i="16" s="1"/>
  <c r="E7" i="33"/>
  <c r="D5" i="16" s="1"/>
  <c r="C7" i="33"/>
  <c r="H7" i="33"/>
  <c r="G5" i="16" s="1"/>
  <c r="F7" i="33"/>
  <c r="E5" i="16" s="1"/>
  <c r="E7" i="32"/>
  <c r="D3" i="16" s="1"/>
  <c r="H7" i="32"/>
  <c r="G3" i="16" s="1"/>
  <c r="F7" i="32"/>
  <c r="E3" i="16" s="1"/>
  <c r="C7" i="32"/>
  <c r="G7" i="32"/>
  <c r="F3" i="16" s="1"/>
  <c r="I7" i="32"/>
  <c r="H3" i="16" s="1"/>
  <c r="H10" i="21"/>
  <c r="G12" i="16" s="1"/>
  <c r="D10" i="21"/>
  <c r="C12" i="16" s="1"/>
  <c r="J12" i="16" s="1"/>
  <c r="F10" i="21"/>
  <c r="E12" i="16" s="1"/>
  <c r="L12" i="16" s="1"/>
  <c r="G11" i="21"/>
  <c r="E11" i="21"/>
  <c r="I10" i="21"/>
  <c r="H12" i="16" s="1"/>
  <c r="B122" i="1"/>
  <c r="B4" i="14" s="1"/>
  <c r="B86" i="1"/>
  <c r="B4" i="28" s="1"/>
  <c r="B104" i="1"/>
  <c r="B4" i="13" s="1"/>
  <c r="B50" i="1"/>
  <c r="B5" i="3" s="1"/>
  <c r="A20" i="3" s="1"/>
  <c r="B68" i="1"/>
  <c r="B4" i="27" s="1"/>
  <c r="J4" i="27" s="1"/>
  <c r="B21" i="27" s="1"/>
  <c r="B142" i="1"/>
  <c r="B6" i="15" s="1"/>
  <c r="B54" i="15" s="1"/>
  <c r="B88" i="1"/>
  <c r="B6" i="28" s="1"/>
  <c r="J6" i="28" s="1"/>
  <c r="B23" i="28" s="1"/>
  <c r="B40" i="1"/>
  <c r="B109" i="1"/>
  <c r="B9" i="13" s="1"/>
  <c r="J9" i="13" s="1"/>
  <c r="B26" i="13" s="1"/>
  <c r="E50" i="1"/>
  <c r="E5" i="3" s="1"/>
  <c r="C20" i="3" s="1"/>
  <c r="E122" i="1"/>
  <c r="E104" i="1"/>
  <c r="E4" i="13" s="1"/>
  <c r="F50" i="1"/>
  <c r="F5" i="3" s="1"/>
  <c r="D20" i="3" s="1"/>
  <c r="F104" i="1"/>
  <c r="J26" i="1"/>
  <c r="B55" i="1"/>
  <c r="B5" i="31" s="1"/>
  <c r="G5" i="31" s="1"/>
  <c r="B6" i="31" s="1"/>
  <c r="F128" i="1"/>
  <c r="J36" i="1"/>
  <c r="D70" i="1"/>
  <c r="D124" i="1"/>
  <c r="D142" i="1"/>
  <c r="D6" i="15" s="1"/>
  <c r="D54" i="15" s="1"/>
  <c r="D110" i="1"/>
  <c r="C40" i="1"/>
  <c r="C52" i="1"/>
  <c r="C6" i="9" s="1"/>
  <c r="B3" i="6"/>
  <c r="B4" i="2"/>
  <c r="G123" i="1"/>
  <c r="G69" i="1"/>
  <c r="G141" i="1"/>
  <c r="F3" i="5"/>
  <c r="E12" i="5" s="1"/>
  <c r="F27" i="1"/>
  <c r="D139" i="1"/>
  <c r="C121" i="1"/>
  <c r="C85" i="1"/>
  <c r="D25" i="14"/>
  <c r="D25" i="28"/>
  <c r="J25" i="1"/>
  <c r="H54" i="1"/>
  <c r="H8" i="9" s="1"/>
  <c r="J8" i="9" s="1"/>
  <c r="B25" i="9" s="1"/>
  <c r="I7" i="8"/>
  <c r="I10" i="8" s="1"/>
  <c r="I15" i="8" s="1"/>
  <c r="I27" i="1"/>
  <c r="J37" i="1"/>
  <c r="I53" i="1"/>
  <c r="J54" i="1"/>
  <c r="H8" i="8"/>
  <c r="J8" i="8" s="1"/>
  <c r="B25" i="8" s="1"/>
  <c r="J24" i="1"/>
  <c r="G53" i="1"/>
  <c r="G7" i="8"/>
  <c r="J7" i="8" s="1"/>
  <c r="B24" i="8" s="1"/>
  <c r="H50" i="1"/>
  <c r="H27" i="1"/>
  <c r="C3" i="30"/>
  <c r="B12" i="30" s="1"/>
  <c r="H34" i="1"/>
  <c r="H40" i="1" s="1"/>
  <c r="A12" i="30"/>
  <c r="G27" i="1"/>
  <c r="G50" i="1"/>
  <c r="G4" i="8"/>
  <c r="G10" i="8" s="1"/>
  <c r="G15" i="8" s="1"/>
  <c r="G34" i="1"/>
  <c r="F3" i="6"/>
  <c r="D12" i="6" s="1"/>
  <c r="F10" i="27"/>
  <c r="F15" i="27" s="1"/>
  <c r="F52" i="1"/>
  <c r="F6" i="8"/>
  <c r="F10" i="8" s="1"/>
  <c r="F15" i="8" s="1"/>
  <c r="F56" i="1"/>
  <c r="J23" i="1"/>
  <c r="F4" i="28"/>
  <c r="F10" i="28" s="1"/>
  <c r="F15" i="28" s="1"/>
  <c r="F92" i="1"/>
  <c r="F3" i="3"/>
  <c r="D12" i="3" s="1"/>
  <c r="F4" i="9"/>
  <c r="F140" i="1"/>
  <c r="G140" i="1" s="1"/>
  <c r="F10" i="14"/>
  <c r="F15" i="14" s="1"/>
  <c r="F51" i="15"/>
  <c r="F5" i="5"/>
  <c r="E20" i="5" s="1"/>
  <c r="F3" i="9"/>
  <c r="E3" i="3"/>
  <c r="C12" i="3" s="1"/>
  <c r="E4" i="9"/>
  <c r="E10" i="27"/>
  <c r="E15" i="27" s="1"/>
  <c r="J4" i="28"/>
  <c r="B21" i="28" s="1"/>
  <c r="E3" i="28"/>
  <c r="E10" i="28" s="1"/>
  <c r="E15" i="28" s="1"/>
  <c r="E92" i="1"/>
  <c r="E27" i="1"/>
  <c r="E103" i="1"/>
  <c r="E139" i="1"/>
  <c r="E49" i="1"/>
  <c r="K49" i="1" s="1"/>
  <c r="E3" i="8"/>
  <c r="E10" i="8" s="1"/>
  <c r="E15" i="8" s="1"/>
  <c r="H121" i="1"/>
  <c r="D6" i="8"/>
  <c r="D52" i="1"/>
  <c r="D3" i="6"/>
  <c r="C12" i="6" s="1"/>
  <c r="D50" i="1"/>
  <c r="D4" i="8"/>
  <c r="D10" i="13"/>
  <c r="D15" i="13" s="1"/>
  <c r="D3" i="28"/>
  <c r="D10" i="28" s="1"/>
  <c r="D15" i="28" s="1"/>
  <c r="D92" i="1"/>
  <c r="D27" i="1"/>
  <c r="D3" i="8"/>
  <c r="D49" i="1"/>
  <c r="G106" i="1"/>
  <c r="C6" i="13"/>
  <c r="J6" i="13" s="1"/>
  <c r="B23" i="13" s="1"/>
  <c r="C5" i="6"/>
  <c r="B20" i="6" s="1"/>
  <c r="C6" i="8"/>
  <c r="C142" i="1"/>
  <c r="C3" i="9"/>
  <c r="C10" i="9" s="1"/>
  <c r="C15" i="9" s="1"/>
  <c r="C5" i="5"/>
  <c r="B20" i="5" s="1"/>
  <c r="C74" i="1"/>
  <c r="C3" i="27"/>
  <c r="C10" i="27" s="1"/>
  <c r="C15" i="27" s="1"/>
  <c r="H67" i="1"/>
  <c r="C27" i="1"/>
  <c r="K20" i="1"/>
  <c r="H8" i="20" s="1"/>
  <c r="C3" i="8"/>
  <c r="C139" i="1"/>
  <c r="C103" i="1"/>
  <c r="C3" i="5"/>
  <c r="B12" i="5" s="1"/>
  <c r="B3" i="31"/>
  <c r="B9" i="9"/>
  <c r="J9" i="9" s="1"/>
  <c r="B26" i="9" s="1"/>
  <c r="J9" i="15"/>
  <c r="B26" i="15" s="1"/>
  <c r="B52" i="1"/>
  <c r="A12" i="6"/>
  <c r="G70" i="1"/>
  <c r="G124" i="1"/>
  <c r="J21" i="1"/>
  <c r="B3" i="3"/>
  <c r="G122" i="1"/>
  <c r="J5" i="15"/>
  <c r="B22" i="15" s="1"/>
  <c r="B53" i="15"/>
  <c r="J53" i="15" s="1"/>
  <c r="B70" i="15" s="1"/>
  <c r="J22" i="1"/>
  <c r="J51" i="1"/>
  <c r="B5" i="5"/>
  <c r="B3" i="9"/>
  <c r="B85" i="1"/>
  <c r="B139" i="1"/>
  <c r="B67" i="1"/>
  <c r="J33" i="1"/>
  <c r="B103" i="1"/>
  <c r="B121" i="1"/>
  <c r="J20" i="1"/>
  <c r="B3" i="5"/>
  <c r="B27" i="1"/>
  <c r="B3" i="8"/>
  <c r="I15" i="16" l="1"/>
  <c r="F27" i="16" s="1"/>
  <c r="K12" i="16"/>
  <c r="N12" i="16"/>
  <c r="O12" i="16"/>
  <c r="M12" i="16"/>
  <c r="B6" i="16"/>
  <c r="D7" i="36"/>
  <c r="C6" i="16" s="1"/>
  <c r="B5" i="16"/>
  <c r="D7" i="33"/>
  <c r="C5" i="16" s="1"/>
  <c r="B3" i="16"/>
  <c r="D7" i="32"/>
  <c r="C3" i="16" s="1"/>
  <c r="G68" i="1"/>
  <c r="B4" i="9"/>
  <c r="A20" i="31"/>
  <c r="E4" i="14"/>
  <c r="E128" i="1"/>
  <c r="G104" i="1"/>
  <c r="F4" i="13"/>
  <c r="F110" i="1"/>
  <c r="B56" i="1"/>
  <c r="J55" i="1"/>
  <c r="J6" i="8"/>
  <c r="B23" i="8" s="1"/>
  <c r="G3" i="6"/>
  <c r="B4" i="6" s="1"/>
  <c r="A16" i="6" s="1"/>
  <c r="D6" i="14"/>
  <c r="D128" i="1"/>
  <c r="D6" i="27"/>
  <c r="D74" i="1"/>
  <c r="C10" i="8"/>
  <c r="C15" i="8" s="1"/>
  <c r="C56" i="1"/>
  <c r="D3" i="15"/>
  <c r="D146" i="1"/>
  <c r="C3" i="28"/>
  <c r="C10" i="28" s="1"/>
  <c r="C15" i="28" s="1"/>
  <c r="C92" i="1"/>
  <c r="H85" i="1"/>
  <c r="C128" i="1"/>
  <c r="C3" i="14"/>
  <c r="C10" i="14" s="1"/>
  <c r="C15" i="14" s="1"/>
  <c r="D25" i="8"/>
  <c r="H10" i="8"/>
  <c r="H15" i="8" s="1"/>
  <c r="I7" i="9"/>
  <c r="I10" i="9" s="1"/>
  <c r="I15" i="9" s="1"/>
  <c r="I56" i="1"/>
  <c r="G7" i="9"/>
  <c r="J7" i="9" s="1"/>
  <c r="B24" i="9" s="1"/>
  <c r="D25" i="9" s="1"/>
  <c r="J53" i="1"/>
  <c r="E3" i="30"/>
  <c r="B4" i="30" s="1"/>
  <c r="A16" i="30" s="1"/>
  <c r="C5" i="30"/>
  <c r="B20" i="30" s="1"/>
  <c r="H4" i="9"/>
  <c r="H10" i="9" s="1"/>
  <c r="H15" i="9" s="1"/>
  <c r="H56" i="1"/>
  <c r="J4" i="8"/>
  <c r="B21" i="8" s="1"/>
  <c r="G40" i="1"/>
  <c r="J34" i="1"/>
  <c r="J40" i="1" s="1"/>
  <c r="C4" i="30"/>
  <c r="B16" i="30" s="1"/>
  <c r="D4" i="30"/>
  <c r="C16" i="30" s="1"/>
  <c r="B5" i="30"/>
  <c r="G4" i="9"/>
  <c r="G56" i="1"/>
  <c r="F6" i="9"/>
  <c r="F10" i="9" s="1"/>
  <c r="F15" i="9" s="1"/>
  <c r="F5" i="6"/>
  <c r="D20" i="6" s="1"/>
  <c r="F4" i="15"/>
  <c r="F146" i="1"/>
  <c r="J49" i="1"/>
  <c r="E3" i="13"/>
  <c r="E10" i="13" s="1"/>
  <c r="E15" i="13" s="1"/>
  <c r="E110" i="1"/>
  <c r="E3" i="9"/>
  <c r="E10" i="9" s="1"/>
  <c r="E15" i="9" s="1"/>
  <c r="E5" i="5"/>
  <c r="D20" i="5" s="1"/>
  <c r="E56" i="1"/>
  <c r="E3" i="15"/>
  <c r="E146" i="1"/>
  <c r="D5" i="6"/>
  <c r="C20" i="6" s="1"/>
  <c r="D6" i="9"/>
  <c r="D5" i="3"/>
  <c r="D4" i="9"/>
  <c r="J50" i="1"/>
  <c r="J27" i="1"/>
  <c r="D10" i="8"/>
  <c r="D15" i="8" s="1"/>
  <c r="D5" i="5"/>
  <c r="C20" i="5" s="1"/>
  <c r="D56" i="1"/>
  <c r="D3" i="9"/>
  <c r="G142" i="1"/>
  <c r="C6" i="15"/>
  <c r="H10" i="20"/>
  <c r="G11" i="16" s="1"/>
  <c r="H11" i="20"/>
  <c r="H10" i="17"/>
  <c r="C146" i="1"/>
  <c r="H139" i="1"/>
  <c r="C3" i="15"/>
  <c r="H8" i="22"/>
  <c r="F8" i="20"/>
  <c r="F10" i="17"/>
  <c r="F8" i="22"/>
  <c r="E8" i="20"/>
  <c r="E10" i="17"/>
  <c r="E8" i="22"/>
  <c r="C3" i="13"/>
  <c r="C10" i="13" s="1"/>
  <c r="C15" i="13" s="1"/>
  <c r="H103" i="1"/>
  <c r="C110" i="1"/>
  <c r="D8" i="22"/>
  <c r="D10" i="17"/>
  <c r="D8" i="20"/>
  <c r="A12" i="31"/>
  <c r="G3" i="31"/>
  <c r="E6" i="31"/>
  <c r="F6" i="31"/>
  <c r="B20" i="31"/>
  <c r="C6" i="31"/>
  <c r="D6" i="31"/>
  <c r="A24" i="31"/>
  <c r="J52" i="1"/>
  <c r="B6" i="9"/>
  <c r="B5" i="6"/>
  <c r="E12" i="6"/>
  <c r="G3" i="3"/>
  <c r="A12" i="3"/>
  <c r="B74" i="1"/>
  <c r="B3" i="27"/>
  <c r="G67" i="1"/>
  <c r="G74" i="1" s="1"/>
  <c r="B128" i="1"/>
  <c r="G121" i="1"/>
  <c r="G128" i="1" s="1"/>
  <c r="B3" i="14"/>
  <c r="B3" i="15"/>
  <c r="G139" i="1"/>
  <c r="B146" i="1"/>
  <c r="G5" i="5"/>
  <c r="A20" i="5"/>
  <c r="G3" i="5"/>
  <c r="A12" i="5"/>
  <c r="J3" i="8"/>
  <c r="B10" i="8"/>
  <c r="G103" i="1"/>
  <c r="B3" i="13"/>
  <c r="B110" i="1"/>
  <c r="B92" i="1"/>
  <c r="B3" i="28"/>
  <c r="B14" i="16" l="1"/>
  <c r="B26" i="16" s="1"/>
  <c r="N11" i="16"/>
  <c r="F26" i="16"/>
  <c r="D4" i="6"/>
  <c r="C16" i="6" s="1"/>
  <c r="E4" i="6"/>
  <c r="C4" i="6"/>
  <c r="B16" i="6" s="1"/>
  <c r="F4" i="6"/>
  <c r="D16" i="6" s="1"/>
  <c r="G6" i="31"/>
  <c r="B24" i="31" s="1"/>
  <c r="D10" i="9"/>
  <c r="D15" i="9" s="1"/>
  <c r="G110" i="1"/>
  <c r="E10" i="14"/>
  <c r="E15" i="14" s="1"/>
  <c r="J4" i="14"/>
  <c r="B21" i="14" s="1"/>
  <c r="F10" i="13"/>
  <c r="F15" i="13" s="1"/>
  <c r="J4" i="13"/>
  <c r="B21" i="13" s="1"/>
  <c r="D12" i="30"/>
  <c r="E4" i="30"/>
  <c r="D16" i="30" s="1"/>
  <c r="D10" i="27"/>
  <c r="D15" i="27" s="1"/>
  <c r="J6" i="27"/>
  <c r="B23" i="27" s="1"/>
  <c r="D10" i="14"/>
  <c r="D15" i="14" s="1"/>
  <c r="J6" i="14"/>
  <c r="B23" i="14" s="1"/>
  <c r="D51" i="15"/>
  <c r="D58" i="15" s="1"/>
  <c r="D63" i="15" s="1"/>
  <c r="D10" i="15"/>
  <c r="D15" i="15" s="1"/>
  <c r="G10" i="9"/>
  <c r="G15" i="9" s="1"/>
  <c r="J4" i="9"/>
  <c r="B21" i="9" s="1"/>
  <c r="A20" i="30"/>
  <c r="E5" i="30"/>
  <c r="B6" i="30" s="1"/>
  <c r="F52" i="15"/>
  <c r="F10" i="15"/>
  <c r="F15" i="15" s="1"/>
  <c r="J4" i="15"/>
  <c r="B21" i="15" s="1"/>
  <c r="J56" i="1"/>
  <c r="E10" i="15"/>
  <c r="E15" i="15" s="1"/>
  <c r="E51" i="15"/>
  <c r="E58" i="15" s="1"/>
  <c r="E63" i="15" s="1"/>
  <c r="G146" i="1"/>
  <c r="J6" i="9"/>
  <c r="B23" i="9" s="1"/>
  <c r="B20" i="3"/>
  <c r="G5" i="3"/>
  <c r="J3" i="9"/>
  <c r="B20" i="9" s="1"/>
  <c r="C54" i="15"/>
  <c r="J54" i="15" s="1"/>
  <c r="B71" i="15" s="1"/>
  <c r="J6" i="15"/>
  <c r="B23" i="15" s="1"/>
  <c r="E11" i="22"/>
  <c r="E10" i="22"/>
  <c r="D13" i="16" s="1"/>
  <c r="D10" i="20"/>
  <c r="C11" i="16" s="1"/>
  <c r="D11" i="20"/>
  <c r="E13" i="17"/>
  <c r="E12" i="17"/>
  <c r="D10" i="16" s="1"/>
  <c r="C10" i="15"/>
  <c r="C15" i="15" s="1"/>
  <c r="C51" i="15"/>
  <c r="D13" i="17"/>
  <c r="D12" i="17"/>
  <c r="C10" i="16" s="1"/>
  <c r="C16" i="16" s="1"/>
  <c r="G8" i="20"/>
  <c r="G10" i="17"/>
  <c r="G8" i="22"/>
  <c r="E10" i="20"/>
  <c r="D11" i="16" s="1"/>
  <c r="E11" i="20"/>
  <c r="I8" i="20"/>
  <c r="I10" i="17"/>
  <c r="I8" i="22"/>
  <c r="H11" i="22"/>
  <c r="H10" i="22"/>
  <c r="G13" i="16" s="1"/>
  <c r="H13" i="17"/>
  <c r="H12" i="17"/>
  <c r="G10" i="16" s="1"/>
  <c r="D10" i="22"/>
  <c r="C13" i="16" s="1"/>
  <c r="D11" i="22"/>
  <c r="F13" i="17"/>
  <c r="F12" i="17"/>
  <c r="E10" i="16" s="1"/>
  <c r="F11" i="22"/>
  <c r="F10" i="22"/>
  <c r="E13" i="16" s="1"/>
  <c r="F11" i="20"/>
  <c r="F10" i="20"/>
  <c r="E11" i="16" s="1"/>
  <c r="F4" i="31"/>
  <c r="B12" i="31"/>
  <c r="C4" i="31"/>
  <c r="D4" i="31"/>
  <c r="E4" i="31"/>
  <c r="B4" i="31"/>
  <c r="G5" i="6"/>
  <c r="B6" i="6" s="1"/>
  <c r="A20" i="6"/>
  <c r="B10" i="9"/>
  <c r="B15" i="9" s="1"/>
  <c r="D4" i="3"/>
  <c r="B16" i="3" s="1"/>
  <c r="E4" i="3"/>
  <c r="C16" i="3" s="1"/>
  <c r="F4" i="3"/>
  <c r="D16" i="3" s="1"/>
  <c r="E12" i="3"/>
  <c r="C4" i="3"/>
  <c r="B4" i="3"/>
  <c r="J3" i="28"/>
  <c r="B10" i="28"/>
  <c r="D6" i="5"/>
  <c r="C24" i="5" s="1"/>
  <c r="C6" i="5"/>
  <c r="B24" i="5" s="1"/>
  <c r="F20" i="5"/>
  <c r="E6" i="5"/>
  <c r="D24" i="5" s="1"/>
  <c r="F6" i="5"/>
  <c r="E24" i="5" s="1"/>
  <c r="B15" i="8"/>
  <c r="F12" i="5"/>
  <c r="D4" i="5"/>
  <c r="C16" i="5" s="1"/>
  <c r="C4" i="5"/>
  <c r="B16" i="5" s="1"/>
  <c r="E4" i="5"/>
  <c r="D16" i="5" s="1"/>
  <c r="F4" i="5"/>
  <c r="E16" i="5" s="1"/>
  <c r="B10" i="14"/>
  <c r="J3" i="14"/>
  <c r="J10" i="8"/>
  <c r="K3" i="8" s="1"/>
  <c r="C20" i="8" s="1"/>
  <c r="B20" i="8"/>
  <c r="B27" i="8" s="1"/>
  <c r="J3" i="27"/>
  <c r="B10" i="27"/>
  <c r="B10" i="13"/>
  <c r="J3" i="13"/>
  <c r="B4" i="5"/>
  <c r="B6" i="5"/>
  <c r="B51" i="15"/>
  <c r="J3" i="15"/>
  <c r="B10" i="15"/>
  <c r="D17" i="16" l="1"/>
  <c r="G4" i="6"/>
  <c r="E16" i="6" s="1"/>
  <c r="B27" i="9"/>
  <c r="C58" i="15"/>
  <c r="C63" i="15" s="1"/>
  <c r="J10" i="9"/>
  <c r="K3" i="9" s="1"/>
  <c r="C20" i="9" s="1"/>
  <c r="C6" i="30"/>
  <c r="B24" i="30" s="1"/>
  <c r="D6" i="30"/>
  <c r="C24" i="30" s="1"/>
  <c r="D20" i="30"/>
  <c r="A24" i="30"/>
  <c r="J52" i="15"/>
  <c r="B69" i="15" s="1"/>
  <c r="F58" i="15"/>
  <c r="F63" i="15" s="1"/>
  <c r="J13" i="16"/>
  <c r="B6" i="3"/>
  <c r="F6" i="3"/>
  <c r="D24" i="3" s="1"/>
  <c r="E20" i="3"/>
  <c r="D6" i="3"/>
  <c r="B24" i="3" s="1"/>
  <c r="E6" i="3"/>
  <c r="C24" i="3" s="1"/>
  <c r="C6" i="3"/>
  <c r="L10" i="16"/>
  <c r="L11" i="16"/>
  <c r="N10" i="16"/>
  <c r="L13" i="16"/>
  <c r="E18" i="16"/>
  <c r="B30" i="16" s="1"/>
  <c r="G20" i="16"/>
  <c r="B32" i="16" s="1"/>
  <c r="I11" i="22"/>
  <c r="I10" i="22"/>
  <c r="H13" i="16" s="1"/>
  <c r="K11" i="16"/>
  <c r="G11" i="20"/>
  <c r="G10" i="20"/>
  <c r="F11" i="16" s="1"/>
  <c r="J11" i="16"/>
  <c r="I13" i="17"/>
  <c r="I12" i="17"/>
  <c r="H10" i="16" s="1"/>
  <c r="I10" i="20"/>
  <c r="H11" i="16" s="1"/>
  <c r="I11" i="20"/>
  <c r="G11" i="22"/>
  <c r="G10" i="22"/>
  <c r="F13" i="16" s="1"/>
  <c r="B28" i="16"/>
  <c r="B29" i="16"/>
  <c r="N13" i="16"/>
  <c r="G13" i="17"/>
  <c r="G12" i="17"/>
  <c r="F10" i="16" s="1"/>
  <c r="J10" i="16"/>
  <c r="J16" i="16" s="1"/>
  <c r="K10" i="16"/>
  <c r="K13" i="16"/>
  <c r="G4" i="31"/>
  <c r="B16" i="31" s="1"/>
  <c r="A16" i="31"/>
  <c r="A24" i="6"/>
  <c r="E20" i="6"/>
  <c r="D6" i="6"/>
  <c r="C24" i="6" s="1"/>
  <c r="E6" i="6"/>
  <c r="F6" i="6"/>
  <c r="D24" i="6" s="1"/>
  <c r="C6" i="6"/>
  <c r="B24" i="6" s="1"/>
  <c r="A16" i="3"/>
  <c r="G4" i="3"/>
  <c r="E16" i="3" s="1"/>
  <c r="G6" i="5"/>
  <c r="F24" i="5" s="1"/>
  <c r="A24" i="5"/>
  <c r="B15" i="27"/>
  <c r="B20" i="14"/>
  <c r="B27" i="14" s="1"/>
  <c r="J10" i="14"/>
  <c r="B15" i="15"/>
  <c r="A16" i="5"/>
  <c r="G4" i="5"/>
  <c r="F16" i="5" s="1"/>
  <c r="J10" i="27"/>
  <c r="B11" i="27" s="1"/>
  <c r="B16" i="27" s="1"/>
  <c r="B20" i="27"/>
  <c r="B27" i="27" s="1"/>
  <c r="B15" i="14"/>
  <c r="B20" i="15"/>
  <c r="B27" i="15" s="1"/>
  <c r="J10" i="15"/>
  <c r="K3" i="15" s="1"/>
  <c r="C20" i="15" s="1"/>
  <c r="J10" i="13"/>
  <c r="K3" i="13" s="1"/>
  <c r="C20" i="13" s="1"/>
  <c r="B20" i="13"/>
  <c r="B27" i="13" s="1"/>
  <c r="B15" i="28"/>
  <c r="B58" i="15"/>
  <c r="J51" i="15"/>
  <c r="B15" i="13"/>
  <c r="K4" i="8"/>
  <c r="C21" i="8" s="1"/>
  <c r="K6" i="8"/>
  <c r="C23" i="8" s="1"/>
  <c r="K8" i="8"/>
  <c r="C25" i="8" s="1"/>
  <c r="C11" i="8"/>
  <c r="C16" i="8" s="1"/>
  <c r="E11" i="8"/>
  <c r="E16" i="8" s="1"/>
  <c r="G11" i="8"/>
  <c r="G16" i="8" s="1"/>
  <c r="I11" i="8"/>
  <c r="I16" i="8" s="1"/>
  <c r="J11" i="8"/>
  <c r="J16" i="8" s="1"/>
  <c r="J15" i="8"/>
  <c r="K5" i="8"/>
  <c r="C22" i="8" s="1"/>
  <c r="K7" i="8"/>
  <c r="C24" i="8" s="1"/>
  <c r="E25" i="8" s="1"/>
  <c r="D11" i="8"/>
  <c r="D16" i="8" s="1"/>
  <c r="F11" i="8"/>
  <c r="F16" i="8" s="1"/>
  <c r="H11" i="8"/>
  <c r="H16" i="8" s="1"/>
  <c r="K9" i="8"/>
  <c r="C26" i="8" s="1"/>
  <c r="B11" i="8"/>
  <c r="B16" i="8" s="1"/>
  <c r="J10" i="28"/>
  <c r="B20" i="28"/>
  <c r="B27" i="28" s="1"/>
  <c r="H21" i="16" l="1"/>
  <c r="N20" i="16"/>
  <c r="F32" i="16" s="1"/>
  <c r="B11" i="13"/>
  <c r="B16" i="13" s="1"/>
  <c r="H11" i="9"/>
  <c r="H16" i="9" s="1"/>
  <c r="D11" i="9"/>
  <c r="D16" i="9" s="1"/>
  <c r="K7" i="9"/>
  <c r="C24" i="9" s="1"/>
  <c r="G11" i="9"/>
  <c r="G16" i="9" s="1"/>
  <c r="E11" i="9"/>
  <c r="E16" i="9" s="1"/>
  <c r="J15" i="9"/>
  <c r="J28" i="16" s="1"/>
  <c r="C28" i="16" s="1"/>
  <c r="K8" i="9"/>
  <c r="C25" i="9" s="1"/>
  <c r="K9" i="9"/>
  <c r="C26" i="9" s="1"/>
  <c r="C11" i="9"/>
  <c r="C16" i="9" s="1"/>
  <c r="K5" i="9"/>
  <c r="C22" i="9" s="1"/>
  <c r="K6" i="9"/>
  <c r="C23" i="9" s="1"/>
  <c r="J11" i="9"/>
  <c r="J16" i="9" s="1"/>
  <c r="I11" i="9"/>
  <c r="I16" i="9" s="1"/>
  <c r="F11" i="9"/>
  <c r="F16" i="9" s="1"/>
  <c r="K4" i="9"/>
  <c r="C21" i="9" s="1"/>
  <c r="B11" i="9"/>
  <c r="B16" i="9" s="1"/>
  <c r="L18" i="16"/>
  <c r="F30" i="16" s="1"/>
  <c r="F28" i="16"/>
  <c r="G28" i="16" s="1"/>
  <c r="F19" i="16"/>
  <c r="B31" i="16" s="1"/>
  <c r="E6" i="30"/>
  <c r="D24" i="30" s="1"/>
  <c r="A24" i="3"/>
  <c r="G6" i="3"/>
  <c r="E24" i="3" s="1"/>
  <c r="M10" i="16"/>
  <c r="B33" i="16"/>
  <c r="O11" i="16"/>
  <c r="M11" i="16"/>
  <c r="K17" i="16"/>
  <c r="F29" i="16" s="1"/>
  <c r="M13" i="16"/>
  <c r="O10" i="16"/>
  <c r="O13" i="16"/>
  <c r="G6" i="6"/>
  <c r="E24" i="6" s="1"/>
  <c r="C27" i="8"/>
  <c r="K3" i="27"/>
  <c r="C20" i="27" s="1"/>
  <c r="K4" i="14"/>
  <c r="C21" i="14" s="1"/>
  <c r="K8" i="14"/>
  <c r="C25" i="14" s="1"/>
  <c r="C11" i="14"/>
  <c r="C16" i="14" s="1"/>
  <c r="E11" i="14"/>
  <c r="E16" i="14" s="1"/>
  <c r="G11" i="14"/>
  <c r="G16" i="14" s="1"/>
  <c r="I11" i="14"/>
  <c r="I16" i="14" s="1"/>
  <c r="K5" i="14"/>
  <c r="C22" i="14" s="1"/>
  <c r="K9" i="14"/>
  <c r="C26" i="14" s="1"/>
  <c r="K6" i="14"/>
  <c r="C23" i="14" s="1"/>
  <c r="J15" i="14"/>
  <c r="J32" i="16" s="1"/>
  <c r="F11" i="14"/>
  <c r="F16" i="14" s="1"/>
  <c r="K7" i="14"/>
  <c r="C24" i="14" s="1"/>
  <c r="D11" i="14"/>
  <c r="D16" i="14" s="1"/>
  <c r="H11" i="14"/>
  <c r="H16" i="14" s="1"/>
  <c r="J11" i="14"/>
  <c r="J16" i="14" s="1"/>
  <c r="K4" i="15"/>
  <c r="C21" i="15" s="1"/>
  <c r="K6" i="15"/>
  <c r="C23" i="15" s="1"/>
  <c r="K8" i="15"/>
  <c r="C25" i="15" s="1"/>
  <c r="D11" i="15"/>
  <c r="D16" i="15" s="1"/>
  <c r="F11" i="15"/>
  <c r="F16" i="15" s="1"/>
  <c r="H11" i="15"/>
  <c r="H16" i="15" s="1"/>
  <c r="K9" i="15"/>
  <c r="C26" i="15" s="1"/>
  <c r="K5" i="15"/>
  <c r="C22" i="15" s="1"/>
  <c r="K7" i="15"/>
  <c r="C24" i="15" s="1"/>
  <c r="C11" i="15"/>
  <c r="C16" i="15" s="1"/>
  <c r="E11" i="15"/>
  <c r="E16" i="15" s="1"/>
  <c r="G11" i="15"/>
  <c r="G16" i="15" s="1"/>
  <c r="J15" i="15"/>
  <c r="I11" i="15"/>
  <c r="I16" i="15" s="1"/>
  <c r="J11" i="15"/>
  <c r="J16" i="15" s="1"/>
  <c r="K3" i="14"/>
  <c r="C20" i="14" s="1"/>
  <c r="C11" i="28"/>
  <c r="C16" i="28" s="1"/>
  <c r="E11" i="28"/>
  <c r="E16" i="28" s="1"/>
  <c r="G11" i="28"/>
  <c r="G16" i="28" s="1"/>
  <c r="I11" i="28"/>
  <c r="I16" i="28" s="1"/>
  <c r="K5" i="28"/>
  <c r="C22" i="28" s="1"/>
  <c r="K7" i="28"/>
  <c r="C24" i="28" s="1"/>
  <c r="K9" i="28"/>
  <c r="C26" i="28" s="1"/>
  <c r="J15" i="28"/>
  <c r="J30" i="16" s="1"/>
  <c r="D11" i="28"/>
  <c r="D16" i="28" s="1"/>
  <c r="F11" i="28"/>
  <c r="F16" i="28" s="1"/>
  <c r="H11" i="28"/>
  <c r="H16" i="28" s="1"/>
  <c r="K8" i="28"/>
  <c r="C25" i="28" s="1"/>
  <c r="J11" i="28"/>
  <c r="J16" i="28" s="1"/>
  <c r="K4" i="28"/>
  <c r="C21" i="28" s="1"/>
  <c r="K6" i="28"/>
  <c r="C23" i="28" s="1"/>
  <c r="B68" i="15"/>
  <c r="B75" i="15" s="1"/>
  <c r="J58" i="15"/>
  <c r="B59" i="15" s="1"/>
  <c r="B64" i="15" s="1"/>
  <c r="K3" i="28"/>
  <c r="C20" i="28" s="1"/>
  <c r="J26" i="16"/>
  <c r="J27" i="16"/>
  <c r="B63" i="15"/>
  <c r="K5" i="13"/>
  <c r="C22" i="13" s="1"/>
  <c r="K7" i="13"/>
  <c r="C24" i="13" s="1"/>
  <c r="K9" i="13"/>
  <c r="C26" i="13" s="1"/>
  <c r="J15" i="13"/>
  <c r="J31" i="16" s="1"/>
  <c r="C11" i="13"/>
  <c r="C16" i="13" s="1"/>
  <c r="K4" i="13"/>
  <c r="C21" i="13" s="1"/>
  <c r="K6" i="13"/>
  <c r="C23" i="13" s="1"/>
  <c r="K8" i="13"/>
  <c r="C25" i="13" s="1"/>
  <c r="D11" i="13"/>
  <c r="D16" i="13" s="1"/>
  <c r="E11" i="13"/>
  <c r="E16" i="13" s="1"/>
  <c r="G11" i="13"/>
  <c r="G16" i="13" s="1"/>
  <c r="I11" i="13"/>
  <c r="I16" i="13" s="1"/>
  <c r="J11" i="13"/>
  <c r="J16" i="13" s="1"/>
  <c r="H11" i="13"/>
  <c r="H16" i="13" s="1"/>
  <c r="F11" i="13"/>
  <c r="F16" i="13" s="1"/>
  <c r="B11" i="15"/>
  <c r="B16" i="15" s="1"/>
  <c r="B11" i="28"/>
  <c r="B16" i="28" s="1"/>
  <c r="B11" i="14"/>
  <c r="B16" i="14" s="1"/>
  <c r="J15" i="27"/>
  <c r="J29" i="16" s="1"/>
  <c r="K4" i="27"/>
  <c r="C21" i="27" s="1"/>
  <c r="K6" i="27"/>
  <c r="C23" i="27" s="1"/>
  <c r="K8" i="27"/>
  <c r="C25" i="27" s="1"/>
  <c r="C11" i="27"/>
  <c r="C16" i="27" s="1"/>
  <c r="E11" i="27"/>
  <c r="E16" i="27" s="1"/>
  <c r="G11" i="27"/>
  <c r="G16" i="27" s="1"/>
  <c r="I11" i="27"/>
  <c r="I16" i="27" s="1"/>
  <c r="K9" i="27"/>
  <c r="C26" i="27" s="1"/>
  <c r="F11" i="27"/>
  <c r="F16" i="27" s="1"/>
  <c r="H11" i="27"/>
  <c r="H16" i="27" s="1"/>
  <c r="K5" i="27"/>
  <c r="C22" i="27" s="1"/>
  <c r="J11" i="27"/>
  <c r="J16" i="27" s="1"/>
  <c r="K7" i="27"/>
  <c r="C24" i="27" s="1"/>
  <c r="D11" i="27"/>
  <c r="D16" i="27" s="1"/>
  <c r="E25" i="9" l="1"/>
  <c r="C27" i="9"/>
  <c r="M19" i="16"/>
  <c r="F31" i="16" s="1"/>
  <c r="G31" i="16" s="1"/>
  <c r="O21" i="16"/>
  <c r="F33" i="16" s="1"/>
  <c r="E25" i="27"/>
  <c r="C27" i="27"/>
  <c r="C27" i="13"/>
  <c r="K51" i="15"/>
  <c r="C68" i="15" s="1"/>
  <c r="E25" i="28"/>
  <c r="C27" i="15"/>
  <c r="C27" i="14"/>
  <c r="E25" i="13"/>
  <c r="C27" i="28"/>
  <c r="G32" i="16"/>
  <c r="C32" i="16"/>
  <c r="C29" i="16"/>
  <c r="G29" i="16"/>
  <c r="C31" i="16"/>
  <c r="C27" i="16"/>
  <c r="G27" i="16"/>
  <c r="K52" i="15"/>
  <c r="C69" i="15" s="1"/>
  <c r="K56" i="15"/>
  <c r="C73" i="15" s="1"/>
  <c r="K53" i="15"/>
  <c r="C70" i="15" s="1"/>
  <c r="K57" i="15"/>
  <c r="C74" i="15" s="1"/>
  <c r="J63" i="15"/>
  <c r="J33" i="16" s="1"/>
  <c r="C59" i="15"/>
  <c r="C64" i="15" s="1"/>
  <c r="E59" i="15"/>
  <c r="E64" i="15" s="1"/>
  <c r="G59" i="15"/>
  <c r="G64" i="15" s="1"/>
  <c r="I59" i="15"/>
  <c r="I64" i="15" s="1"/>
  <c r="K54" i="15"/>
  <c r="C71" i="15" s="1"/>
  <c r="D59" i="15"/>
  <c r="D64" i="15" s="1"/>
  <c r="J59" i="15"/>
  <c r="J64" i="15" s="1"/>
  <c r="K55" i="15"/>
  <c r="C72" i="15" s="1"/>
  <c r="F59" i="15"/>
  <c r="F64" i="15" s="1"/>
  <c r="H59" i="15"/>
  <c r="H64" i="15" s="1"/>
  <c r="G26" i="16"/>
  <c r="C26" i="16"/>
  <c r="G30" i="16"/>
  <c r="C30" i="16"/>
  <c r="E25" i="15"/>
  <c r="E25" i="14"/>
  <c r="E73" i="15" l="1"/>
  <c r="C75" i="15"/>
  <c r="C33" i="16"/>
  <c r="G33" i="16"/>
</calcChain>
</file>

<file path=xl/comments1.xml><?xml version="1.0" encoding="utf-8"?>
<comments xmlns="http://schemas.openxmlformats.org/spreadsheetml/2006/main">
  <authors>
    <author>adam</author>
    <author>Adam</author>
    <author>Pafcio</author>
  </authors>
  <commentList>
    <comment ref="B3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</t>
        </r>
      </text>
    </comment>
    <comment ref="C3" authorId="0">
      <text>
        <r>
          <rPr>
            <b/>
            <sz val="12"/>
            <color indexed="81"/>
            <rFont val="Arial"/>
            <family val="2"/>
            <charset val="238"/>
          </rPr>
          <t xml:space="preserve">Źródło danych:
Wartości dla budynków mieszkalnych i przedsiębiorstw wyliczone na podstawie ankietyzacji przeprowadzonej w poszczególnych miejscowościach gminy.
</t>
        </r>
      </text>
    </comment>
    <comment ref="D3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E3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B4" authorId="0">
      <text>
        <r>
          <rPr>
            <b/>
            <sz val="12"/>
            <color indexed="81"/>
            <rFont val="Arial"/>
            <family val="2"/>
            <charset val="238"/>
          </rPr>
          <t xml:space="preserve">Źródło danych: Suma zużycia wyliczona na podstawie faktur udostępnionych przez pracowników Urzędu Gminy.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Źródło danych: Suma zużycia wyliczona na podstawie faktur udostępnionych przez pracowników Urzędu Gminy.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Źródło danych: Suma zużycia wyliczona na podstawie faktur udostępnionych przez pracowników Urzędu Gminy.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Źródło danych: Suma zużycia wyliczona na podstawie faktur udostępnionych przez pracowników Urzędu Gminy.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>Źródło danych: Suma zużycia wyliczona na podstawie faktur udostępnionych przez pracowników Urzędu Gminy.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>Źródło danych: Suma zużycia wyliczona na podstawie faktur udostępnionych przez pracowników Urzędu Gminy.</t>
        </r>
      </text>
    </comment>
    <comment ref="B5" authorId="0">
      <text>
        <r>
          <rPr>
            <b/>
            <sz val="11"/>
            <color indexed="81"/>
            <rFont val="Arial"/>
            <family val="2"/>
            <charset val="238"/>
          </rPr>
          <t>Źróło danych: Suma zużycia wyliczona na podstawie faktur udostępnionych przez pracowników Urzędu Gminy.</t>
        </r>
      </text>
    </comment>
    <comment ref="B6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</t>
        </r>
      </text>
    </comment>
    <comment ref="C6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D6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>
      <text>
        <r>
          <rPr>
            <b/>
            <sz val="11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F6" authorId="0">
      <text>
        <r>
          <rPr>
            <b/>
            <sz val="12"/>
            <color indexed="81"/>
            <rFont val="Arial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Źródło danych: wyliczenia przedstawione w pliku: "[BAZA]Szadek - transport + wykresy". Sumę zużycia paliwa w jednostce [dm3] zamieszczono w arkuszu "zużycie w dm3".</t>
        </r>
      </text>
    </comment>
    <comment ref="H7" authorId="0">
      <text>
        <r>
          <rPr>
            <b/>
            <sz val="12"/>
            <color indexed="81"/>
            <rFont val="Arial"/>
            <family val="2"/>
            <charset val="238"/>
          </rPr>
          <t>Źródło danych: wyliczenia przedstawione w pliku: "[BAZA]Szadek - transport + wykresy". Sumę zużycia paliwa w jednostce [dm3] zamieszczono w arkuszu "zużycie w dm3".</t>
        </r>
      </text>
    </comment>
    <comment ref="I7" authorId="0">
      <text>
        <r>
          <rPr>
            <b/>
            <sz val="12"/>
            <color indexed="81"/>
            <rFont val="Arial"/>
            <family val="2"/>
            <charset val="238"/>
          </rPr>
          <t>Źródło danych: wyliczenia przedstawione w pliku: "[BAZA]Szadek - transport + wykresy". Sumę zużycia paliwa w jednostce [dm3] zamieszczono w arkuszu "zużycie w dm3".</t>
        </r>
      </text>
    </comment>
    <comment ref="H8" authorId="0">
      <text>
        <r>
          <rPr>
            <b/>
            <sz val="12"/>
            <color indexed="81"/>
            <rFont val="Arial"/>
            <family val="2"/>
            <charset val="238"/>
          </rPr>
          <t>Źródło danych: wyliczenia przedstawione w pliku: "[BAZA]Szadek - transport + wykresy". Sumę zużycia paliwa w jednostce [dm3] zamieszczono w arkuszu "zużycie w dm3".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Źródło danych:
Wartości dla budynków mieszkalnych i przedsiębiorstw wyliczone na podstawie ankietyzacji przeprowadzonej w poszczególnych miejscowościach gminy.</t>
        </r>
      </text>
    </comment>
    <comment ref="K1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15st.C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skrócone z kWh do MWh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przelicznik 7 MWh/tona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wartość opałowa = 40,4 MJ/kg
gęstość = 0,82 kg/dm3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Przelicznik 1200kWh/m3
(średnia dla drewna opałowego o wilgotności 25-30%)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Przeliczone zgodnie ze współczynnikami przeliczeniowymi dla najbardziej typowych paliw transportowych (EMEP/EEA 2009; IPCC 2006) wyrażonymi w kWh/dm3 i skrócone z kWh do MWh.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38"/>
          </rPr>
          <t>Przeliczone zgodnie ze współczynnikami przeliczeniowymi dla najbardziej typowych paliw transportowych (EMEP/EEA 2009; IPCC 2006) wyrażonymi w kWh/dm3 i skrócone z kWh do MWh.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Przeliczone zgodnie ze współczynnikami przeliczeniowymi dla najbardziej typowych paliw transportowych (EMEP/EEA 2009; IPCC 2006) wyrażonymi w kWh/dm3 i skrócone z kWh do MWh.</t>
        </r>
      </text>
    </comment>
    <comment ref="C43" authorId="2">
      <text>
        <r>
          <rPr>
            <b/>
            <sz val="9"/>
            <color indexed="81"/>
            <rFont val="Tahoma"/>
            <family val="2"/>
            <charset val="238"/>
          </rPr>
          <t>przyjęty współczynnik konwersji 10,97kWh/m3</t>
        </r>
      </text>
    </comment>
    <comment ref="C60" authorId="2">
      <text>
        <r>
          <rPr>
            <b/>
            <sz val="9"/>
            <color indexed="81"/>
            <rFont val="Tahoma"/>
            <family val="2"/>
            <charset val="238"/>
          </rPr>
          <t>przyjęty współczynnik konwersji 10,97kWh/m3</t>
        </r>
      </text>
    </comment>
    <comment ref="C78" authorId="2">
      <text>
        <r>
          <rPr>
            <b/>
            <sz val="9"/>
            <color indexed="81"/>
            <rFont val="Tahoma"/>
            <family val="2"/>
            <charset val="238"/>
          </rPr>
          <t>przyjęty współczynnik konwersji 10,97kWh/m3</t>
        </r>
      </text>
    </comment>
  </commentList>
</comments>
</file>

<file path=xl/comments2.xml><?xml version="1.0" encoding="utf-8"?>
<comments xmlns="http://schemas.openxmlformats.org/spreadsheetml/2006/main">
  <authors>
    <author>adam</author>
  </authors>
  <commentLis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wartość zużycia energii finalnej
</t>
        </r>
      </text>
    </comment>
  </commentList>
</comments>
</file>

<file path=xl/sharedStrings.xml><?xml version="1.0" encoding="utf-8"?>
<sst xmlns="http://schemas.openxmlformats.org/spreadsheetml/2006/main" count="1110" uniqueCount="215">
  <si>
    <t>energia elektryczna</t>
  </si>
  <si>
    <t>Budownictwo mieszkaniowe</t>
  </si>
  <si>
    <t>Oświetlenie</t>
  </si>
  <si>
    <t>Przedsiębiorstwa, usługi</t>
  </si>
  <si>
    <t>Transport</t>
  </si>
  <si>
    <t>węgiel</t>
  </si>
  <si>
    <t>olej opałowy</t>
  </si>
  <si>
    <t>olej napędowy</t>
  </si>
  <si>
    <t>benzyna silnikowa</t>
  </si>
  <si>
    <t>Końcowe zużycie energii na terenie gminy [MWh]</t>
  </si>
  <si>
    <t>suma oblicz.</t>
  </si>
  <si>
    <t>SUMA:</t>
  </si>
  <si>
    <t>beznyna silnikowa</t>
  </si>
  <si>
    <t>drewno</t>
  </si>
  <si>
    <t>LPG Transport</t>
  </si>
  <si>
    <t>paliwo</t>
  </si>
  <si>
    <t>benzyna</t>
  </si>
  <si>
    <t>LPG</t>
  </si>
  <si>
    <t xml:space="preserve"> LPG Transport</t>
  </si>
  <si>
    <t>Transport publiczny</t>
  </si>
  <si>
    <t>kWh/dm3</t>
  </si>
  <si>
    <t>Współczynniki przeliczeniowe dla najbardziej typowych paliw transportowych (EMEP/EEA 2009; IPCC 2006)</t>
  </si>
  <si>
    <t>EMISJA CO2 w roku 2013 [Mg/rok]</t>
  </si>
  <si>
    <t>Końcowe zużycie paliw w roku 2013 [jednostki pierwotne]</t>
  </si>
  <si>
    <t>Użyteczność publiczna</t>
  </si>
  <si>
    <t>Oświetlenie [MWh/rok]</t>
  </si>
  <si>
    <t>Emisja [tCO2/rok]</t>
  </si>
  <si>
    <t xml:space="preserve">Końcowe zużycie energii i emisja CO2 na terenie gminy </t>
  </si>
  <si>
    <t>[MWh]</t>
  </si>
  <si>
    <t>% zużycia</t>
  </si>
  <si>
    <t>emisja tCO2/rok</t>
  </si>
  <si>
    <t>% emisji</t>
  </si>
  <si>
    <t>Końcowe zużycie energii na terenie gminy dla budynków użyteczności publicznej [MWh/rok]</t>
  </si>
  <si>
    <t>Końcowe zużycie energii na terenie gminy dla budynków użyteczności publicznej [% zużycia]</t>
  </si>
  <si>
    <t>Końcowe zużycie energii na terenie gminy dla budynków mieszkalnych [MWh/rok]</t>
  </si>
  <si>
    <t>Końcowe zużycie energii na terenie gminy dla budynków mieszkalnych [% zużycia]</t>
  </si>
  <si>
    <t>Końcowe zużycie energii na terenie gminy dla budynków PUH [MWh/rok]</t>
  </si>
  <si>
    <t>Końcowe zużycie energii na terenie gminy dla budynków PUH [% zużycia]</t>
  </si>
  <si>
    <t>Końcowe zużycie energii na terenie gminy [MWh/rok]</t>
  </si>
  <si>
    <t>Procentowo:</t>
  </si>
  <si>
    <t>Suma:</t>
  </si>
  <si>
    <t>energia elektryczna [kWh]</t>
  </si>
  <si>
    <t>węgiel [Mg]</t>
  </si>
  <si>
    <t>olej opałowy [dm3]</t>
  </si>
  <si>
    <t>drewno [m3]</t>
  </si>
  <si>
    <t>benzyna silnikowa [dm3]</t>
  </si>
  <si>
    <t>olej napędowy [dm3]</t>
  </si>
  <si>
    <t>suma transportu</t>
  </si>
  <si>
    <t>Standardowe wskaźniki emisji CO2 (źródło: IPCC, 2006) [tCO2/MWh]</t>
  </si>
  <si>
    <t>EMISJA PM2,5 w roku 2013 [Mg/rok]</t>
  </si>
  <si>
    <t>EMISJA PM10 w roku 2013 [Mg/rok]</t>
  </si>
  <si>
    <t>EMISJA B(a)P w roku 2013 [Mg/rok]</t>
  </si>
  <si>
    <t>ILOCZYN ZUŻYCIA ENERGII W JEDNOSTCE MWh i STANDARDOWYCH WSKAŹNIKÓW EMISJI CO2</t>
  </si>
  <si>
    <t>Końcowe zużycie energii na terenie gminy [GJ]</t>
  </si>
  <si>
    <t>kg/dm3</t>
  </si>
  <si>
    <t>Emisja PM2,5 na terenie gminy [tPM2,5/rok]</t>
  </si>
  <si>
    <t>Emisja PM10 na terenie gminy [tPM10/rok]</t>
  </si>
  <si>
    <t>Emisja B(a)P na terenie gminy [tB(a)P/rok]</t>
  </si>
  <si>
    <t>ILOCZYN ZUŻYCIA ENERGII W GJ i STANDARDOWYCH WSKAŹNIKÓW EMISJI PM10</t>
  </si>
  <si>
    <t>ILOCZYN ZUŻYCIA ENERGII W GJ i STANDARDOWYCH WSKAŹNIKÓW EMISJI PM2,5</t>
  </si>
  <si>
    <t>ILOCZYN ZUŻYCIA ENERGII W GJ i STANDARDOWYCH WSKAŹNIKÓW EMISJI B(a)P</t>
  </si>
  <si>
    <t>Emisja B(a)P na terenie gminy [kgB(a)P/rok]</t>
  </si>
  <si>
    <t>%</t>
  </si>
  <si>
    <t>suma</t>
  </si>
  <si>
    <t>WYNIKI BAZOWEJ INWENTARYZACJI EMISJI</t>
  </si>
  <si>
    <t>Zużycie energii finalnej [MWh/rok]</t>
  </si>
  <si>
    <t>Produkcja energii z OZE [MWh/rok]</t>
  </si>
  <si>
    <t>Emisja PM10 [Mg PM10]</t>
  </si>
  <si>
    <t>Emisja PM2,5 [Mg PM2,5]</t>
  </si>
  <si>
    <t>Emisja B(a)P [kg B(a)P]</t>
  </si>
  <si>
    <t>Zmniejszenie zużycia energii finalnej [MWh/rok]</t>
  </si>
  <si>
    <t>Redukcja emisji PM10 [Mg PM10]</t>
  </si>
  <si>
    <t>Redukcja emisji PM2,5 [Mg PM2,5]</t>
  </si>
  <si>
    <t>Redukcja emisji B(a)P [kg B(a)P]</t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</si>
  <si>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użyteczności publicznej [tCO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</si>
  <si>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użyteczności publicznej [% 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</si>
  <si>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mieszkalnych [tCO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</si>
  <si>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mieszkalnych [% 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</si>
  <si>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PUH [tCO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</si>
  <si>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dla budynków PUH [% 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</si>
  <si>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na terenie gminy [tCO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</si>
  <si>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r>
      <t>Emisja CO2 na terenie gminy [tCO</t>
    </r>
    <r>
      <rPr>
        <b/>
        <vertAlign val="sub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/rok]</t>
    </r>
  </si>
  <si>
    <t>LPG Transport [dm3]</t>
  </si>
  <si>
    <t>W zestawieniu emisji nie uwzględniono udziału OZE ze względu na zerowy udział emisji z tego sektora.</t>
  </si>
  <si>
    <t>Zapotrzebowanie na energię dla 1 budynku [GJ]</t>
  </si>
  <si>
    <t>Zapotrzebowanie po termomodernizacji [GJ]</t>
  </si>
  <si>
    <t>Liczba inwestycji zgłoszonych</t>
  </si>
  <si>
    <t>Liczba inwestycji zgłoszonych do roku 2022</t>
  </si>
  <si>
    <t>GJ</t>
  </si>
  <si>
    <t>MWh</t>
  </si>
  <si>
    <t>tCO2</t>
  </si>
  <si>
    <t>tPM10</t>
  </si>
  <si>
    <t>tPM2,5</t>
  </si>
  <si>
    <t>kgB(a)P</t>
  </si>
  <si>
    <t>Efekt ekologiczny zadania do roku 2020</t>
  </si>
  <si>
    <t>Efekt ekologiczny zadania do roku 2022</t>
  </si>
  <si>
    <t>Efekt ekologiczny [GJ]</t>
  </si>
  <si>
    <t>tCO2/MWh</t>
  </si>
  <si>
    <t>tPM10/MWh</t>
  </si>
  <si>
    <t>tPM2,5/MWh</t>
  </si>
  <si>
    <t>kgB(a)P/MWh</t>
  </si>
  <si>
    <t>Zadanie z harmonogramu</t>
  </si>
  <si>
    <t>sprawność wytw.</t>
  </si>
  <si>
    <t>sprawność przes.</t>
  </si>
  <si>
    <t>sprawność układu</t>
  </si>
  <si>
    <t>ciepło + CWU brutto GJ</t>
  </si>
  <si>
    <t>ciepło + CWU brutto MWh</t>
  </si>
  <si>
    <t>Zapotrzebowanie na energię C.W.U. dla 1 budynku [GJ]</t>
  </si>
  <si>
    <t>stary kocioł</t>
  </si>
  <si>
    <t>Jednostkowe ograniczenie zużycia energii MWh</t>
  </si>
  <si>
    <t>Jednostkowe ograniczenie zużycia energii GJ</t>
  </si>
  <si>
    <t>PM10 [g/GJ]</t>
  </si>
  <si>
    <t>PM2,5 [g/GJ]</t>
  </si>
  <si>
    <t>BaP [g/GJ]</t>
  </si>
  <si>
    <t>CO2 [g/GJ]</t>
  </si>
  <si>
    <t>Wskaźniki emisji przyjęte w opracowaniu [g/GJ]</t>
  </si>
  <si>
    <t>węgiel, kocioł pozaklasowy</t>
  </si>
  <si>
    <t>PM10 [Mg]</t>
  </si>
  <si>
    <t>PM2,5 [Mg]</t>
  </si>
  <si>
    <t>CO2  [Mg]</t>
  </si>
  <si>
    <t>Efekty ekologiczne na jeden kocioł</t>
  </si>
  <si>
    <t>EMISJA NA JEDEN KOCIOŁ</t>
  </si>
  <si>
    <t>Efekty ekologiczne dla wszystkich instalacji</t>
  </si>
  <si>
    <t>BaP  [kg]</t>
  </si>
  <si>
    <t>Ogranicznie zużycia z instalacji [MWh]</t>
  </si>
  <si>
    <t>Produkcja z instalacji [MWh]</t>
  </si>
  <si>
    <t>Oszczędność na jedną instalację [GJ]</t>
  </si>
  <si>
    <t>suma bez energii elektrycznej</t>
  </si>
  <si>
    <t>Procent względem roku bazowego 2013:</t>
  </si>
  <si>
    <t>węgiel, kocioł ecodesign auto</t>
  </si>
  <si>
    <t>Wskaźniki emisji zanieczyszczeń służące dla wyznaczenia efektu ekologicznego
 (źródło: Poradnik EMEP/EEA air pollutant emission inventory guidebook 2013 Technical guidance to prepare national emission inventories , dostępne na: http://www.eea.europa.eu/publications/emep-eea-guidebook-2013) [gPM10/GJ]</t>
  </si>
  <si>
    <t>Wskaźniki emisji zanieczyszczeń służące dla wyznaczenia efektu ekologicznego
 (źródło: Poradnik EMEP/EEA air pollutant emission inventory guidebook 2013 Technical guidance to prepare national emission inventories , dostępne na: http://www.eea.europa.eu/publications/emep-eea-guidebook-2013) [gPM2,5/GJ]</t>
  </si>
  <si>
    <t>Wskaźniki emisji zanieczyszczeń służące dla wyznaczenia efektu ekologicznego
 (źródło: Poradnik EMEP/EEA air pollutant emission inventory guidebook 2013 Technical guidance to prepare national emission inventories , dostępne na: http://www.eea.europa.eu/publications/emep-eea-guidebook-2013) [mgB(a)P/GJ]</t>
  </si>
  <si>
    <t>zapotrzebowanie ciepło + CWU</t>
  </si>
  <si>
    <t>Emisja NOx na terenie gminy [tNOx/rok]</t>
  </si>
  <si>
    <t>ILOCZYN ZUŻYCIA ENERGII W GJ i STANDARDOWYCH WSKAŹNIKÓW EMISJI SO2</t>
  </si>
  <si>
    <t>EMISJA SO2 w roku 2013 [Mg/rok]</t>
  </si>
  <si>
    <t>ILOCZYN ZUŻYCIA ENERGII W GJ i STANDARDOWYCH WSKAŹNIKÓW EMISJI NOX</t>
  </si>
  <si>
    <t>EMISJA NOx w roku 2013 [Mg/rok]</t>
  </si>
  <si>
    <t>Wskaźniki emisji zanieczyszczeń służące dla wyznaczenia efektu ekologicznego
 (źródło: Poradnik EMEP/EEA air pollutant emission inventory guidebook 2013 Technical guidance to prepare national emission inventories , dostępne na: http://www.eea.europa.eu/publications/emep-eea-guidebook-2013) [gSO2/GJ]</t>
  </si>
  <si>
    <t>Wskaźniki emisji zanieczyszczeń służące dla wyznaczenia efektu ekologicznego
 (źródło: Poradnik EMEP/EEA air pollutant emission inventory guidebook 2013 Technical guidance to prepare national emission inventories , dostępne na: http://www.eea.europa.eu/publications/emep-eea-guidebook-2013)
 (źródło: NFOŚiGW) [gNOX/GJ]</t>
  </si>
  <si>
    <t>ZUŻYCIE w GJ</t>
  </si>
  <si>
    <t>ZUŻYCIE w MWh</t>
  </si>
  <si>
    <r>
      <t>Emisja SO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na terenie gminy [tSO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/rok]</t>
    </r>
  </si>
  <si>
    <r>
      <t>Emisja SO2 na terenie gminy [tSO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/rok]</t>
    </r>
  </si>
  <si>
    <t>%:</t>
  </si>
  <si>
    <t>SO2 [g/GJ]</t>
  </si>
  <si>
    <t>NOx [g/GJ]</t>
  </si>
  <si>
    <t>SO2 [Mg]</t>
  </si>
  <si>
    <t>NOx [Mg]</t>
  </si>
  <si>
    <t>biomasa, kocioł ecodesign auto</t>
  </si>
  <si>
    <r>
      <t>Redukcja emisji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[Mg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/rok] (w wyniku zmniejszenia zużycia energii finalnej)</t>
    </r>
  </si>
  <si>
    <r>
      <t>Emisja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[Mg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/rok]</t>
    </r>
  </si>
  <si>
    <t>Redukcja emisji NOx [Mg NOx]</t>
  </si>
  <si>
    <t>Emisja SO2 [Mg SO2]</t>
  </si>
  <si>
    <r>
      <t>Redukcja emisji SO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[Mg SO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]</t>
    </r>
  </si>
  <si>
    <r>
      <t>tCO</t>
    </r>
    <r>
      <rPr>
        <b/>
        <vertAlign val="subscript"/>
        <sz val="10"/>
        <rFont val="Arial"/>
        <family val="2"/>
        <charset val="238"/>
      </rPr>
      <t>2</t>
    </r>
  </si>
  <si>
    <t>tSO2</t>
  </si>
  <si>
    <t>tNOx</t>
  </si>
  <si>
    <t>tSO2/MWh</t>
  </si>
  <si>
    <t>tNOx/MWh</t>
  </si>
  <si>
    <t>Wskaźniki emisji uwzględniające mikst energetyczny w budynkach mieszkalnych na terenie gminy</t>
  </si>
  <si>
    <t>Wskaźniki dla energii elektrycznej</t>
  </si>
  <si>
    <t>Przemysłowe</t>
  </si>
  <si>
    <t>gaz płynny [Mg]</t>
  </si>
  <si>
    <t>gaz płynny</t>
  </si>
  <si>
    <r>
      <t>Końcowe zużycie energii i emisja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na terenie gminy dla oświetlenia ulicznego</t>
    </r>
  </si>
  <si>
    <t>Przemysł</t>
  </si>
  <si>
    <t>Zapotrzebowanie na energię dla budynku [GJ]</t>
  </si>
  <si>
    <t>Wskaźniki emisji (węgiel)</t>
  </si>
  <si>
    <t>gSO2/GJ</t>
  </si>
  <si>
    <t>gNOx/GJ</t>
  </si>
  <si>
    <t>gPM10/GJ</t>
  </si>
  <si>
    <t>gPM2,5/GJ</t>
  </si>
  <si>
    <t>mgB(a)P/GJ</t>
  </si>
  <si>
    <t>Zadanie 11.</t>
  </si>
  <si>
    <t>Zadanie 12.</t>
  </si>
  <si>
    <t>Na jeden kocioł</t>
  </si>
  <si>
    <t>Zadanie 19.</t>
  </si>
  <si>
    <t xml:space="preserve">Koszty </t>
  </si>
  <si>
    <t>Zadanie</t>
  </si>
  <si>
    <t>4.</t>
  </si>
  <si>
    <t>14.</t>
  </si>
  <si>
    <t>15.</t>
  </si>
  <si>
    <t>16.</t>
  </si>
  <si>
    <t>17.</t>
  </si>
  <si>
    <t>18.</t>
  </si>
  <si>
    <t>Zadanie 17.</t>
  </si>
  <si>
    <t>-</t>
  </si>
  <si>
    <t>Wszystkie efekty działań zaplanowanych w harmonogramie do roku 2020</t>
  </si>
  <si>
    <t>Perspektywa do roku 2022</t>
  </si>
  <si>
    <r>
      <t>tSO</t>
    </r>
    <r>
      <rPr>
        <b/>
        <vertAlign val="subscript"/>
        <sz val="10"/>
        <color theme="1"/>
        <rFont val="Arial"/>
        <family val="2"/>
        <charset val="238"/>
      </rPr>
      <t>2</t>
    </r>
  </si>
  <si>
    <t>Efekty działań zaplanowanych w harmonogramie - perspektywa do roku 2022</t>
  </si>
  <si>
    <t>Inwestycje do roku 2020</t>
  </si>
  <si>
    <t>Inwestycje do roku 2022</t>
  </si>
  <si>
    <t>Liczba wszystkich inwestycji zgłoszonych do roku 2022</t>
  </si>
  <si>
    <t>Liczba inwestycji do roku 2020</t>
  </si>
  <si>
    <t>Liczba inwestycji do roku 2022</t>
  </si>
  <si>
    <t>do 2020</t>
  </si>
  <si>
    <t>19.</t>
  </si>
  <si>
    <t>Produkcja energii z OZE</t>
  </si>
  <si>
    <t>kWh</t>
  </si>
  <si>
    <t>Zadanie 10. - termomodernizacja</t>
  </si>
  <si>
    <t>Zadanie 10. - kolektory słoneczne</t>
  </si>
  <si>
    <t>Zadanie 10. - ogniwa fotowoltaiczne</t>
  </si>
  <si>
    <t>Liczba instalacji</t>
  </si>
  <si>
    <t>Wskaźniki dla oleju opałowego</t>
  </si>
  <si>
    <t>Zadanie 13. - termomodernizacja</t>
  </si>
  <si>
    <t>Zadanie 16.</t>
  </si>
  <si>
    <t>Zadanie 14, 15</t>
  </si>
  <si>
    <t>Zadanie 18.</t>
  </si>
  <si>
    <t>10 - zmniejszenie zużycia</t>
  </si>
  <si>
    <t>10 - OZE</t>
  </si>
  <si>
    <t>Produkcja energii z OZE w roku bazowym</t>
  </si>
  <si>
    <t>[Mwh/rok]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</si>
</sst>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"/>
    <numFmt numFmtId="168" formatCode="0.000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vertAlign val="sub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i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00B05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C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0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9" fillId="2" borderId="1" xfId="0" applyFont="1" applyFill="1" applyBorder="1" applyAlignment="1"/>
    <xf numFmtId="164" fontId="4" fillId="0" borderId="1" xfId="0" applyNumberFormat="1" applyFont="1" applyBorder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/>
    <xf numFmtId="164" fontId="11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0" xfId="0"/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64" fontId="14" fillId="3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4" fillId="0" borderId="0" xfId="0" applyFont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22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2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4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24" fillId="3" borderId="1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4" fillId="0" borderId="0" xfId="0" applyFont="1"/>
    <xf numFmtId="0" fontId="26" fillId="0" borderId="0" xfId="0" applyFont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0" borderId="7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9" fillId="0" borderId="1" xfId="0" applyFont="1" applyFill="1" applyBorder="1"/>
    <xf numFmtId="2" fontId="9" fillId="0" borderId="1" xfId="0" applyNumberFormat="1" applyFont="1" applyBorder="1" applyAlignment="1">
      <alignment horizontal="center"/>
    </xf>
    <xf numFmtId="0" fontId="9" fillId="3" borderId="1" xfId="0" applyFont="1" applyFill="1" applyBorder="1"/>
    <xf numFmtId="164" fontId="24" fillId="3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164" fontId="14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3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/>
    <xf numFmtId="0" fontId="31" fillId="2" borderId="0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4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0" fontId="22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168" fontId="34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164" fontId="9" fillId="5" borderId="1" xfId="0" applyNumberFormat="1" applyFont="1" applyFill="1" applyBorder="1" applyAlignment="1">
      <alignment horizontal="center" vertical="center"/>
    </xf>
    <xf numFmtId="164" fontId="19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164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2" fontId="9" fillId="5" borderId="4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3 2" xfId="4"/>
    <cellStyle name="Normalny 4" xfId="3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dla budynków użyteczności publicznej [% zużycia]</a:t>
            </a:r>
          </a:p>
        </c:rich>
      </c:tx>
      <c:layout>
        <c:manualLayout>
          <c:xMode val="edge"/>
          <c:yMode val="edge"/>
          <c:x val="0.10279155730533682"/>
          <c:y val="9.2592592592592587E-3"/>
        </c:manualLayout>
      </c:layout>
      <c:overlay val="1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85389326334212E-2"/>
          <c:y val="0.13194444444444445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publiczne!$A$15:$D$15</c:f>
              <c:strCache>
                <c:ptCount val="1"/>
                <c:pt idx="0">
                  <c:v>energia elektryczna węgiel olej opałowy drewno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1385065416441263E-3"/>
                  <c:y val="-2.811752697579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16938149906834E-2"/>
                  <c:y val="-1.609762321376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443329125844002E-2"/>
                  <c:y val="1.7067658209390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004628238264103E-3"/>
                  <c:y val="-9.4905220180810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publiczne!$A$15:$D$15</c:f>
              <c:strCache>
                <c:ptCount val="4"/>
                <c:pt idx="0">
                  <c:v>energia elektryczna</c:v>
                </c:pt>
                <c:pt idx="1">
                  <c:v>węgiel</c:v>
                </c:pt>
                <c:pt idx="2">
                  <c:v>olej opałowy</c:v>
                </c:pt>
                <c:pt idx="3">
                  <c:v>drewno</c:v>
                </c:pt>
              </c:strCache>
            </c:strRef>
          </c:cat>
          <c:val>
            <c:numRef>
              <c:f>publiczne!$A$16:$D$16</c:f>
              <c:numCache>
                <c:formatCode>0.0</c:formatCode>
                <c:ptCount val="4"/>
                <c:pt idx="0">
                  <c:v>21.671862055094358</c:v>
                </c:pt>
                <c:pt idx="1">
                  <c:v>29.210869187782169</c:v>
                </c:pt>
                <c:pt idx="2">
                  <c:v>45.39738941450986</c:v>
                </c:pt>
                <c:pt idx="3">
                  <c:v>3.719879342613623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</a:t>
            </a:r>
            <a:r>
              <a:rPr lang="pl-PL" sz="1200"/>
              <a:t> na terenie gminy dla budynków PUH </a:t>
            </a:r>
            <a:r>
              <a:rPr lang="pl-PL" sz="1200" baseline="0"/>
              <a:t> </a:t>
            </a:r>
            <a:r>
              <a:rPr lang="pl-PL" sz="1200"/>
              <a:t>[% tCO</a:t>
            </a:r>
            <a:r>
              <a:rPr lang="pl-PL" sz="1200" baseline="-25000"/>
              <a:t>2</a:t>
            </a:r>
            <a:r>
              <a:rPr lang="pl-PL" sz="1200"/>
              <a:t>/rok]</a:t>
            </a:r>
          </a:p>
        </c:rich>
      </c:tx>
      <c:layout>
        <c:manualLayout>
          <c:xMode val="edge"/>
          <c:yMode val="edge"/>
          <c:x val="0.13874204573349194"/>
          <c:y val="2.3148148148148147E-2"/>
        </c:manualLayout>
      </c:layout>
      <c:overlay val="1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779810797031674E-2"/>
          <c:y val="0.12268518518518519"/>
          <c:w val="0.60800392756660815"/>
          <c:h val="0.77314814814814814"/>
        </c:manualLayout>
      </c:layout>
      <c:pie3DChart>
        <c:varyColors val="1"/>
        <c:ser>
          <c:idx val="0"/>
          <c:order val="0"/>
          <c:tx>
            <c:strRef>
              <c:f>przemysłowe!$A$24:$D$24</c:f>
              <c:strCache>
                <c:ptCount val="1"/>
                <c:pt idx="0">
                  <c:v>100,0 100,0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7468418965614911E-3"/>
                  <c:y val="1.550379119276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937007874015748E-2"/>
                  <c:y val="-3.4798410615339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507764654418199E-2"/>
                  <c:y val="2.03346456692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78215223097113E-2"/>
                  <c:y val="4.005176436278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przemysłowe!$A$23:$D$23</c:f>
              <c:strCache>
                <c:ptCount val="2"/>
                <c:pt idx="0">
                  <c:v>energia elektryczna</c:v>
                </c:pt>
                <c:pt idx="1">
                  <c:v>SUMA:</c:v>
                </c:pt>
              </c:strCache>
            </c:strRef>
          </c:cat>
          <c:val>
            <c:numRef>
              <c:f>przemysłowe!$A$24:$D$24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[%]</a:t>
            </a:r>
          </a:p>
        </c:rich>
      </c:tx>
      <c:layout>
        <c:manualLayout>
          <c:xMode val="edge"/>
          <c:yMode val="edge"/>
          <c:x val="0.1210903324584427"/>
          <c:y val="1.388888888888888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zużycie'!$B$16:$I$16</c:f>
              <c:strCache>
                <c:ptCount val="1"/>
                <c:pt idx="0">
                  <c:v>18,3 0,02 29,0 0,7 8,3 15,6 25,0 3,1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4.9303263843611903E-2"/>
                  <c:y val="-5.926637219128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14134220483587E-3"/>
                  <c:y val="-1.691505025286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83331382940189E-2"/>
                  <c:y val="-2.7591383394148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1942981649586795E-3"/>
                  <c:y val="-2.371135010562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zużycie'!$B$14:$I$14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zużycie'!$B$16:$I$16</c:f>
              <c:numCache>
                <c:formatCode>0.00</c:formatCode>
                <c:ptCount val="8"/>
                <c:pt idx="0" formatCode="0.0">
                  <c:v>18.257921089385512</c:v>
                </c:pt>
                <c:pt idx="1">
                  <c:v>1.5976715745697471E-2</c:v>
                </c:pt>
                <c:pt idx="2" formatCode="0.0">
                  <c:v>29.012416724043124</c:v>
                </c:pt>
                <c:pt idx="3" formatCode="0.0">
                  <c:v>0.72113640106564336</c:v>
                </c:pt>
                <c:pt idx="4" formatCode="0.0">
                  <c:v>8.2797436157436763</c:v>
                </c:pt>
                <c:pt idx="5" formatCode="0.0">
                  <c:v>15.637804679677668</c:v>
                </c:pt>
                <c:pt idx="6" formatCode="0.0">
                  <c:v>24.990762556673644</c:v>
                </c:pt>
                <c:pt idx="7" formatCode="0.0">
                  <c:v>3.0842382176650345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[%]</a:t>
            </a:r>
          </a:p>
        </c:rich>
      </c:tx>
      <c:layout>
        <c:manualLayout>
          <c:xMode val="edge"/>
          <c:yMode val="edge"/>
          <c:x val="0.12942366579177603"/>
          <c:y val="0"/>
        </c:manualLayout>
      </c:layout>
      <c:overlay val="1"/>
    </c:title>
    <c:autoTitleDeleted val="0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zużycie'!$C$20:$C$26</c:f>
              <c:strCache>
                <c:ptCount val="1"/>
                <c:pt idx="0">
                  <c:v>31,1 1,3 0,3 11,8 43,4 0,2 11,9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9.1478033936460024E-3"/>
                  <c:y val="2.4875781622229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91557720370342E-2"/>
                  <c:y val="3.876807732168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92610577377989E-3"/>
                  <c:y val="-1.895221204388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397489764267568E-2"/>
                  <c:y val="-1.391512214819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91335609733525E-2"/>
                  <c:y val="7.0160629921259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zużycie'!$A$20:$A$26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zużycie'!$C$20:$C$26</c:f>
              <c:numCache>
                <c:formatCode>0.0</c:formatCode>
                <c:ptCount val="7"/>
                <c:pt idx="0">
                  <c:v>31.081378017534902</c:v>
                </c:pt>
                <c:pt idx="1">
                  <c:v>1.3107350853489357</c:v>
                </c:pt>
                <c:pt idx="2">
                  <c:v>0.28624487289584299</c:v>
                </c:pt>
                <c:pt idx="3">
                  <c:v>11.791549486931791</c:v>
                </c:pt>
                <c:pt idx="4">
                  <c:v>43.42884054157328</c:v>
                </c:pt>
                <c:pt idx="5">
                  <c:v>0.16489374384122418</c:v>
                </c:pt>
                <c:pt idx="6">
                  <c:v>11.936358251874026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</a:t>
            </a:r>
            <a:r>
              <a:rPr lang="pl-PL" sz="1200"/>
              <a:t>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CO2'!$B$16:$I$16</c:f>
              <c:strCache>
                <c:ptCount val="1"/>
                <c:pt idx="0">
                  <c:v>39,0 0,01 26,4 0,5 4,4 10,2 17,6 1,8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CO2'!$B$14:$I$14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CO2'!$B$16:$I$16</c:f>
              <c:numCache>
                <c:formatCode>0.00</c:formatCode>
                <c:ptCount val="8"/>
                <c:pt idx="0" formatCode="0.0">
                  <c:v>39.015065197289026</c:v>
                </c:pt>
                <c:pt idx="1">
                  <c:v>9.5441739832968966E-3</c:v>
                </c:pt>
                <c:pt idx="2" formatCode="0.0">
                  <c:v>26.417090724849228</c:v>
                </c:pt>
                <c:pt idx="3" formatCode="0.0">
                  <c:v>0.52947639524223589</c:v>
                </c:pt>
                <c:pt idx="4" formatCode="0.0">
                  <c:v>4.3796351070449777</c:v>
                </c:pt>
                <c:pt idx="5" formatCode="0.0">
                  <c:v>10.24707968602385</c:v>
                </c:pt>
                <c:pt idx="6" formatCode="0.0">
                  <c:v>17.559645807428357</c:v>
                </c:pt>
                <c:pt idx="7" formatCode="0.0">
                  <c:v>1.842462908139044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</a:t>
            </a:r>
            <a:r>
              <a:rPr lang="pl-PL" sz="1200"/>
              <a:t>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CO2'!$C$20:$C$26</c:f>
              <c:strCache>
                <c:ptCount val="1"/>
                <c:pt idx="0">
                  <c:v>30,3 1,4 0,6 12,7 29,5 0,1 25,5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CO2'!$A$20:$A$26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CO2'!$C$20:$C$26</c:f>
              <c:numCache>
                <c:formatCode>0.0</c:formatCode>
                <c:ptCount val="7"/>
                <c:pt idx="0">
                  <c:v>30.280917645758812</c:v>
                </c:pt>
                <c:pt idx="1">
                  <c:v>1.3725992579563862</c:v>
                </c:pt>
                <c:pt idx="2">
                  <c:v>0.61167217909127714</c:v>
                </c:pt>
                <c:pt idx="3">
                  <c:v>12.662133988544811</c:v>
                </c:pt>
                <c:pt idx="4">
                  <c:v>29.450198363846543</c:v>
                </c:pt>
                <c:pt idx="5">
                  <c:v>0.11586184019580856</c:v>
                </c:pt>
                <c:pt idx="6">
                  <c:v>25.506616724606374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SO</a:t>
            </a:r>
            <a:r>
              <a:rPr lang="pl-PL" sz="1200" baseline="-25000"/>
              <a:t>2</a:t>
            </a:r>
            <a:r>
              <a:rPr lang="pl-PL" sz="1200"/>
              <a:t>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SO2'!$B$14:$I$14</c:f>
              <c:strCache>
                <c:ptCount val="1"/>
                <c:pt idx="0">
                  <c:v>energia elektryczna gaz płynny węgiel olej opałowy drewno benzyna silnikowa olej napędowy LPG Transport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SO2'!$B$14:$I$14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SO2'!$B$16:$I$16</c:f>
              <c:numCache>
                <c:formatCode>0.00</c:formatCode>
                <c:ptCount val="8"/>
                <c:pt idx="0">
                  <c:v>38.424271994805594</c:v>
                </c:pt>
                <c:pt idx="1">
                  <c:v>1.8679675412932241E-3</c:v>
                </c:pt>
                <c:pt idx="2">
                  <c:v>61.057389062732476</c:v>
                </c:pt>
                <c:pt idx="3">
                  <c:v>0.23810671856724538</c:v>
                </c:pt>
                <c:pt idx="4">
                  <c:v>0.19361040867994481</c:v>
                </c:pt>
                <c:pt idx="5" formatCode="0.000">
                  <c:v>6.3548459263549795E-2</c:v>
                </c:pt>
                <c:pt idx="6" formatCode="0.000">
                  <c:v>2.120538840987125E-2</c:v>
                </c:pt>
                <c:pt idx="7" formatCode="0.0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SO</a:t>
            </a:r>
            <a:r>
              <a:rPr lang="pl-PL" sz="1200" baseline="-25000"/>
              <a:t>2</a:t>
            </a:r>
            <a:r>
              <a:rPr lang="pl-PL" sz="1200"/>
              <a:t>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SO2'!$A$20:$A$26</c:f>
              <c:strCache>
                <c:ptCount val="1"/>
                <c:pt idx="0">
                  <c:v>Budownictwo mieszkaniowe Użyteczność publiczna Oświetlenie Przedsiębiorstwa, usługi Transport Transport publiczny Przemysł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SO2'!$A$20:$A$26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SO2'!$C$20:$C$26</c:f>
              <c:numCache>
                <c:formatCode>0.00</c:formatCode>
                <c:ptCount val="7"/>
                <c:pt idx="0">
                  <c:v>52.315739731901012</c:v>
                </c:pt>
                <c:pt idx="1">
                  <c:v>1.4557420202064704</c:v>
                </c:pt>
                <c:pt idx="2">
                  <c:v>0.60240981431684992</c:v>
                </c:pt>
                <c:pt idx="3">
                  <c:v>20.420976759092053</c:v>
                </c:pt>
                <c:pt idx="4">
                  <c:v>8.46133247016711E-2</c:v>
                </c:pt>
                <c:pt idx="5">
                  <c:v>1.4052297174995133E-4</c:v>
                </c:pt>
                <c:pt idx="6">
                  <c:v>25.120377826810181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NOx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NOx'!$B$14:$I$14</c:f>
              <c:strCache>
                <c:ptCount val="1"/>
                <c:pt idx="0">
                  <c:v>energia elektryczna gaz płynny węgiel olej opałowy drewno benzyna silnikowa olej napędowy LPG Transport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NOx'!$B$14:$I$14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NOx'!$B$16:$I$16</c:f>
              <c:numCache>
                <c:formatCode>0.00</c:formatCode>
                <c:ptCount val="8"/>
                <c:pt idx="0">
                  <c:v>11.866816866895148</c:v>
                </c:pt>
                <c:pt idx="1">
                  <c:v>0.39938989717318735</c:v>
                </c:pt>
                <c:pt idx="2">
                  <c:v>18.856749048522317</c:v>
                </c:pt>
                <c:pt idx="3">
                  <c:v>0.25454783271817377</c:v>
                </c:pt>
                <c:pt idx="4">
                  <c:v>2.069790815551535</c:v>
                </c:pt>
                <c:pt idx="5">
                  <c:v>25.608307958141577</c:v>
                </c:pt>
                <c:pt idx="6">
                  <c:v>37.474848719003113</c:v>
                </c:pt>
                <c:pt idx="7">
                  <c:v>3.4695488619949479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NOx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NOx'!$A$20:$A$26</c:f>
              <c:strCache>
                <c:ptCount val="1"/>
                <c:pt idx="0">
                  <c:v>Budownictwo mieszkaniowe Użyteczność publiczna Oświetlenie Przedsiębiorstwa, usługi Transport Transport publiczny Przemysł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NOx'!$A$20:$A$26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NOx'!$C$20:$C$26</c:f>
              <c:numCache>
                <c:formatCode>0.00</c:formatCode>
                <c:ptCount val="7"/>
                <c:pt idx="0">
                  <c:v>17.984572759707653</c:v>
                </c:pt>
                <c:pt idx="1">
                  <c:v>0.59613942966072742</c:v>
                </c:pt>
                <c:pt idx="2">
                  <c:v>0.18604612590408401</c:v>
                </c:pt>
                <c:pt idx="3">
                  <c:v>6.9224471090989672</c:v>
                </c:pt>
                <c:pt idx="4">
                  <c:v>66.308588302771341</c:v>
                </c:pt>
                <c:pt idx="5">
                  <c:v>0.24411723636829499</c:v>
                </c:pt>
                <c:pt idx="6">
                  <c:v>7.7580890364889319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PM10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PM10'!$B$16:$I$16</c:f>
              <c:strCache>
                <c:ptCount val="1"/>
                <c:pt idx="0">
                  <c:v>27,73 0,00 44,06 0,01 26,80 0,38 1,01 0,00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PM10'!$B$14:$I$14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PM10'!$B$16:$I$16</c:f>
              <c:numCache>
                <c:formatCode>0.00</c:formatCode>
                <c:ptCount val="8"/>
                <c:pt idx="0">
                  <c:v>27.729692982877204</c:v>
                </c:pt>
                <c:pt idx="1">
                  <c:v>3.1927701286900327E-3</c:v>
                </c:pt>
                <c:pt idx="2">
                  <c:v>44.063363211527836</c:v>
                </c:pt>
                <c:pt idx="3">
                  <c:v>8.7209379217538623E-3</c:v>
                </c:pt>
                <c:pt idx="4">
                  <c:v>26.804767629803685</c:v>
                </c:pt>
                <c:pt idx="5">
                  <c:v>0.37621630620834562</c:v>
                </c:pt>
                <c:pt idx="6">
                  <c:v>1.0140461615324721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 </a:t>
            </a:r>
            <a:r>
              <a:rPr lang="pl-PL" sz="1200"/>
              <a:t>na terenie gminy dla budynków użyteczności publicznej [% tCO</a:t>
            </a:r>
            <a:r>
              <a:rPr lang="pl-PL" sz="1200" baseline="-25000"/>
              <a:t>2</a:t>
            </a:r>
            <a:r>
              <a:rPr lang="pl-PL" sz="1200"/>
              <a:t>/rok]</a:t>
            </a:r>
          </a:p>
        </c:rich>
      </c:tx>
      <c:layout>
        <c:manualLayout>
          <c:xMode val="edge"/>
          <c:yMode val="edge"/>
          <c:x val="0.10277077865266843"/>
          <c:y val="0"/>
        </c:manualLayout>
      </c:layout>
      <c:overlay val="1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10761154855643E-2"/>
          <c:y val="0.11805555555555555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publiczne!$A$23:$D$23</c:f>
              <c:strCache>
                <c:ptCount val="1"/>
                <c:pt idx="0">
                  <c:v>energia elektryczna węgiel olej opałowy drewno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9.3460657843301501E-3"/>
                  <c:y val="-1.849773986585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779808058343853E-3"/>
                  <c:y val="-1.759149897929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397928312396068E-3"/>
                  <c:y val="3.3847331583552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52054657289976E-3"/>
                  <c:y val="-9.2814960629921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publiczne!$A$23:$D$23</c:f>
              <c:strCache>
                <c:ptCount val="4"/>
                <c:pt idx="0">
                  <c:v>energia elektryczna</c:v>
                </c:pt>
                <c:pt idx="1">
                  <c:v>węgiel</c:v>
                </c:pt>
                <c:pt idx="2">
                  <c:v>olej opałowy</c:v>
                </c:pt>
                <c:pt idx="3">
                  <c:v>drewno</c:v>
                </c:pt>
              </c:strCache>
            </c:strRef>
          </c:cat>
          <c:val>
            <c:numRef>
              <c:f>publiczne!$A$24:$D$24</c:f>
              <c:numCache>
                <c:formatCode>0.0</c:formatCode>
                <c:ptCount val="4"/>
                <c:pt idx="0">
                  <c:v>42.797601289817457</c:v>
                </c:pt>
                <c:pt idx="1">
                  <c:v>24.580332323225814</c:v>
                </c:pt>
                <c:pt idx="2">
                  <c:v>30.803655250924038</c:v>
                </c:pt>
                <c:pt idx="3">
                  <c:v>1.8184111360326758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PM10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PM10'!$C$20:$C$26</c:f>
              <c:strCache>
                <c:ptCount val="1"/>
                <c:pt idx="0">
                  <c:v>57,45 1,07 0,43 21,53 1,39 0,00 18,13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PM10'!$A$20:$A$26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PM10'!$C$20:$C$26</c:f>
              <c:numCache>
                <c:formatCode>0.00</c:formatCode>
                <c:ptCount val="7"/>
                <c:pt idx="0">
                  <c:v>57.449878971193634</c:v>
                </c:pt>
                <c:pt idx="1">
                  <c:v>1.0709624497225623</c:v>
                </c:pt>
                <c:pt idx="2">
                  <c:v>0.43474185283553424</c:v>
                </c:pt>
                <c:pt idx="3">
                  <c:v>21.525499411240848</c:v>
                </c:pt>
                <c:pt idx="4">
                  <c:v>1.3899622366496183</c:v>
                </c:pt>
                <c:pt idx="5">
                  <c:v>3.0023109119938542E-4</c:v>
                </c:pt>
                <c:pt idx="6">
                  <c:v>18.128654847266592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PM2,5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PM2,5'!$B$16:$I$16</c:f>
              <c:strCache>
                <c:ptCount val="1"/>
                <c:pt idx="0">
                  <c:v>27,30 0,00 43,38 0,01 27,86 0,39 1,05 0,00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PM2,5'!$B$14:$I$14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PM2,5'!$B$16:$I$16</c:f>
              <c:numCache>
                <c:formatCode>0.00</c:formatCode>
                <c:ptCount val="8"/>
                <c:pt idx="0">
                  <c:v>27.30185854413131</c:v>
                </c:pt>
                <c:pt idx="1">
                  <c:v>3.3181491105615931E-3</c:v>
                </c:pt>
                <c:pt idx="2">
                  <c:v>43.383520694681323</c:v>
                </c:pt>
                <c:pt idx="3">
                  <c:v>9.0634061463745925E-3</c:v>
                </c:pt>
                <c:pt idx="4">
                  <c:v>27.857381610537534</c:v>
                </c:pt>
                <c:pt idx="5">
                  <c:v>0.39099019080843578</c:v>
                </c:pt>
                <c:pt idx="6">
                  <c:v>1.0538674045844638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PM2,5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PM2,5'!$C$20:$C$26</c:f>
              <c:strCache>
                <c:ptCount val="1"/>
                <c:pt idx="0">
                  <c:v>57,65 1,06 0,43 21,57 1,44 0,00 17,85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PM2,5'!$A$20:$A$26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PM2,5'!$C$20:$C$26</c:f>
              <c:numCache>
                <c:formatCode>0.00</c:formatCode>
                <c:ptCount val="7"/>
                <c:pt idx="0">
                  <c:v>57.648849273608263</c:v>
                </c:pt>
                <c:pt idx="1">
                  <c:v>1.0626463824902845</c:v>
                </c:pt>
                <c:pt idx="2">
                  <c:v>0.42803433044348721</c:v>
                </c:pt>
                <c:pt idx="3">
                  <c:v>21.56666001382904</c:v>
                </c:pt>
                <c:pt idx="4">
                  <c:v>1.4445455743302886</c:v>
                </c:pt>
                <c:pt idx="5">
                  <c:v>3.1202106261089162E-4</c:v>
                </c:pt>
                <c:pt idx="6">
                  <c:v>17.848952404236027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B(a)P na terenie gminy [%]</a:t>
            </a:r>
          </a:p>
        </c:rich>
      </c:tx>
      <c:layout>
        <c:manualLayout>
          <c:xMode val="edge"/>
          <c:yMode val="edge"/>
          <c:x val="0.28447469230459982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'zestawienie emisja B(a)P'!$B$16:$I$16</c:f>
              <c:strCache>
                <c:ptCount val="1"/>
                <c:pt idx="0">
                  <c:v>33,16 0,00 52,70 0,05 13,92 0,01 0,15 0,00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8625075711689892E-3"/>
                  <c:y val="-1.283342489165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50826339015314E-2"/>
                  <c:y val="-4.2294756760056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826800496091833E-2"/>
                  <c:y val="-5.2935665018616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4612038879755414E-2"/>
                  <c:y val="3.599981688335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208762366242682E-2"/>
                  <c:y val="8.4300799609351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234432234432234E-2"/>
                  <c:y val="1.962522126594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053935565746591E-3"/>
                  <c:y val="1.199108832326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982059934815842E-4"/>
                  <c:y val="-2.419550753830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B(a)P'!$B$14:$I$14</c:f>
              <c:strCache>
                <c:ptCount val="8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  <c:pt idx="5">
                  <c:v>benzyna silnikowa</c:v>
                </c:pt>
                <c:pt idx="6">
                  <c:v>olej napędowy</c:v>
                </c:pt>
                <c:pt idx="7">
                  <c:v>LPG Transport</c:v>
                </c:pt>
              </c:strCache>
            </c:strRef>
          </c:cat>
          <c:val>
            <c:numRef>
              <c:f>'zestawienie emisja B(a)P'!$B$16:$I$16</c:f>
              <c:numCache>
                <c:formatCode>0.00</c:formatCode>
                <c:ptCount val="8"/>
                <c:pt idx="0">
                  <c:v>33.162849576554834</c:v>
                </c:pt>
                <c:pt idx="1">
                  <c:v>0</c:v>
                </c:pt>
                <c:pt idx="2">
                  <c:v>52.696821667780966</c:v>
                </c:pt>
                <c:pt idx="3">
                  <c:v>4.8929249299208437E-2</c:v>
                </c:pt>
                <c:pt idx="4">
                  <c:v>13.92495013823619</c:v>
                </c:pt>
                <c:pt idx="5">
                  <c:v>1.392430973309716E-2</c:v>
                </c:pt>
                <c:pt idx="6">
                  <c:v>0.15252505839568939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B(a)P na terenie gminy [%]</a:t>
            </a:r>
          </a:p>
        </c:rich>
      </c:tx>
      <c:layout>
        <c:manualLayout>
          <c:xMode val="edge"/>
          <c:yMode val="edge"/>
          <c:x val="0.3409179111231786"/>
          <c:y val="3.2372276076887981E-2"/>
        </c:manualLayout>
      </c:layout>
      <c:overlay val="1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77209098862648E-2"/>
          <c:y val="0.10879629629629629"/>
          <c:w val="0.51941469816272967"/>
          <c:h val="0.77314814814814814"/>
        </c:manualLayout>
      </c:layout>
      <c:pie3DChart>
        <c:varyColors val="1"/>
        <c:ser>
          <c:idx val="0"/>
          <c:order val="0"/>
          <c:tx>
            <c:strRef>
              <c:f>'zestawienie emisja B(a)P'!$C$20:$C$26</c:f>
              <c:strCache>
                <c:ptCount val="1"/>
                <c:pt idx="0">
                  <c:v>55,29 1,21 0,52 21,13 0,17 0,00 21,68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9933640370425393E-3"/>
                  <c:y val="4.3280138944056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83920170356063E-3"/>
                  <c:y val="-4.201157347913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081160176615349E-4"/>
                  <c:y val="1.240908470256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'zestawienie emisja B(a)P'!$A$20:$A$26</c:f>
              <c:strCache>
                <c:ptCount val="7"/>
                <c:pt idx="0">
                  <c:v>Budownictwo mieszkaniowe</c:v>
                </c:pt>
                <c:pt idx="1">
                  <c:v>Użyteczność publiczna</c:v>
                </c:pt>
                <c:pt idx="2">
                  <c:v>Oświetlenie</c:v>
                </c:pt>
                <c:pt idx="3">
                  <c:v>Przedsiębiorstwa, usługi</c:v>
                </c:pt>
                <c:pt idx="4">
                  <c:v>Transport</c:v>
                </c:pt>
                <c:pt idx="5">
                  <c:v>Transport publiczny</c:v>
                </c:pt>
                <c:pt idx="6">
                  <c:v>Przemysł</c:v>
                </c:pt>
              </c:strCache>
            </c:strRef>
          </c:cat>
          <c:val>
            <c:numRef>
              <c:f>'zestawienie emisja B(a)P'!$C$20:$C$26</c:f>
              <c:numCache>
                <c:formatCode>0.00</c:formatCode>
                <c:ptCount val="7"/>
                <c:pt idx="0">
                  <c:v>55.293886864087199</c:v>
                </c:pt>
                <c:pt idx="1">
                  <c:v>1.2126062970368925</c:v>
                </c:pt>
                <c:pt idx="2">
                  <c:v>0.51992204454337376</c:v>
                </c:pt>
                <c:pt idx="3">
                  <c:v>21.126482340848014</c:v>
                </c:pt>
                <c:pt idx="4">
                  <c:v>0.165160755279921</c:v>
                </c:pt>
                <c:pt idx="5">
                  <c:v>1.2886128488655791E-3</c:v>
                </c:pt>
                <c:pt idx="6">
                  <c:v>21.680653085355722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energii dla paliw płynnych [% zużycia]</a:t>
            </a:r>
          </a:p>
        </c:rich>
      </c:tx>
      <c:layout>
        <c:manualLayout>
          <c:xMode val="edge"/>
          <c:yMode val="edge"/>
          <c:x val="0.2872210021366377"/>
          <c:y val="5.211623547056618E-2"/>
        </c:manualLayout>
      </c:layout>
      <c:overlay val="1"/>
    </c:title>
    <c:autoTitleDeleted val="0"/>
    <c:view3D>
      <c:rotX val="30"/>
      <c:rotY val="1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85389326334212E-2"/>
          <c:y val="0.13194444444444445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'transport gminny'!$A$15:$B$15</c:f>
              <c:strCache>
                <c:ptCount val="1"/>
                <c:pt idx="0">
                  <c:v>benzyna silnikowa olej napędowy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1385065416441263E-3"/>
                  <c:y val="-2.811752697579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16938149906834E-2"/>
                  <c:y val="-1.609762321376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443329125844002E-2"/>
                  <c:y val="1.7067658209390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004628238264103E-3"/>
                  <c:y val="-9.4905220180810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'transport gminny'!$A$15:$B$15</c:f>
              <c:strCache>
                <c:ptCount val="2"/>
                <c:pt idx="0">
                  <c:v>benzyna silnikowa</c:v>
                </c:pt>
                <c:pt idx="1">
                  <c:v>olej napędowy</c:v>
                </c:pt>
              </c:strCache>
            </c:strRef>
          </c:cat>
          <c:val>
            <c:numRef>
              <c:f>'transport gminny'!$A$16:$B$16</c:f>
              <c:numCache>
                <c:formatCode>0.0</c:formatCode>
                <c:ptCount val="2"/>
                <c:pt idx="0">
                  <c:v>9.5139607032057896</c:v>
                </c:pt>
                <c:pt idx="1">
                  <c:v>90.486039296794203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 </a:t>
            </a:r>
            <a:r>
              <a:rPr lang="pl-PL" sz="1200"/>
              <a:t>dla paliw płynnych [% tCO</a:t>
            </a:r>
            <a:r>
              <a:rPr lang="pl-PL" sz="1200" baseline="-25000"/>
              <a:t>2</a:t>
            </a:r>
            <a:r>
              <a:rPr lang="pl-PL" sz="1200"/>
              <a:t>/rok]</a:t>
            </a:r>
          </a:p>
        </c:rich>
      </c:tx>
      <c:layout>
        <c:manualLayout>
          <c:xMode val="edge"/>
          <c:yMode val="edge"/>
          <c:x val="0.10277077865266843"/>
          <c:y val="0"/>
        </c:manualLayout>
      </c:layout>
      <c:overlay val="1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10761154855643E-2"/>
          <c:y val="0.11805555555555555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'transport gminny'!$A$23:$B$23</c:f>
              <c:strCache>
                <c:ptCount val="1"/>
                <c:pt idx="0">
                  <c:v>benzyna silnikowa olej napędowy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9.3460657843301501E-3"/>
                  <c:y val="-1.849773986585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779808058343853E-3"/>
                  <c:y val="-1.759149897929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397928312396068E-3"/>
                  <c:y val="3.3847331583552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52054657289976E-3"/>
                  <c:y val="-9.2814960629921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'transport gminny'!$A$23:$B$23</c:f>
              <c:strCache>
                <c:ptCount val="2"/>
                <c:pt idx="0">
                  <c:v>benzyna silnikowa</c:v>
                </c:pt>
                <c:pt idx="1">
                  <c:v>olej napędowy</c:v>
                </c:pt>
              </c:strCache>
            </c:strRef>
          </c:cat>
          <c:val>
            <c:numRef>
              <c:f>'transport gminny'!$A$24:$B$24</c:f>
              <c:numCache>
                <c:formatCode>0.0</c:formatCode>
                <c:ptCount val="2"/>
                <c:pt idx="0">
                  <c:v>8.9298452830629973</c:v>
                </c:pt>
                <c:pt idx="1">
                  <c:v>91.070154716936997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dla budynków mieszkalnych [% zużycia]</a:t>
            </a:r>
          </a:p>
        </c:rich>
      </c:tx>
      <c:layout>
        <c:manualLayout>
          <c:xMode val="edge"/>
          <c:yMode val="edge"/>
          <c:x val="0.10279155730533682"/>
          <c:y val="9.2592592592592587E-3"/>
        </c:manualLayout>
      </c:layout>
      <c:overlay val="1"/>
    </c:title>
    <c:autoTitleDeleted val="0"/>
    <c:view3D>
      <c:rotX val="30"/>
      <c:rotY val="4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mieszkalne!$A$16:$E$16</c:f>
              <c:strCache>
                <c:ptCount val="1"/>
                <c:pt idx="0">
                  <c:v>11,4 0,04 68,2 0,6 19,7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6521434820647418E-2"/>
                  <c:y val="-2.465696996208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353237095363078E-3"/>
                  <c:y val="1.4590259550889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0417830835661672E-3"/>
                  <c:y val="-1.0637420322459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037182852143486E-3"/>
                  <c:y val="1.7747156605424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00043744531932E-2"/>
                  <c:y val="1.006634587343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6592300962379702E-3"/>
                  <c:y val="-5.968212306794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mieszkalne!$A$15:$E$15</c:f>
              <c:strCache>
                <c:ptCount val="5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</c:strCache>
            </c:strRef>
          </c:cat>
          <c:val>
            <c:numRef>
              <c:f>mieszkalne!$A$16:$E$16</c:f>
              <c:numCache>
                <c:formatCode>0.00</c:formatCode>
                <c:ptCount val="5"/>
                <c:pt idx="0" formatCode="0.0">
                  <c:v>11.422065041072663</c:v>
                </c:pt>
                <c:pt idx="1">
                  <c:v>3.799255349913102E-2</c:v>
                </c:pt>
                <c:pt idx="2" formatCode="0.0">
                  <c:v>68.245164164971911</c:v>
                </c:pt>
                <c:pt idx="3" formatCode="0.0">
                  <c:v>0.57961423771536635</c:v>
                </c:pt>
                <c:pt idx="4" formatCode="0.0">
                  <c:v>19.715164002740931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</a:t>
            </a:r>
            <a:r>
              <a:rPr lang="pl-PL" sz="1200"/>
              <a:t> na terenie gminy dla budynków mieszkalnych [% tCO</a:t>
            </a:r>
            <a:r>
              <a:rPr lang="pl-PL" sz="1200" baseline="-25000"/>
              <a:t>2</a:t>
            </a:r>
            <a:r>
              <a:rPr lang="pl-PL" sz="1200"/>
              <a:t>/rok]</a:t>
            </a:r>
          </a:p>
        </c:rich>
      </c:tx>
      <c:layout>
        <c:manualLayout>
          <c:xMode val="edge"/>
          <c:yMode val="edge"/>
          <c:x val="0.10277077865266843"/>
          <c:y val="0"/>
        </c:manualLayout>
      </c:layout>
      <c:overlay val="1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16710411198E-2"/>
          <c:y val="0.11342592592592593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mieszkalne!$A$24:$E$24</c:f>
              <c:strCache>
                <c:ptCount val="1"/>
                <c:pt idx="0">
                  <c:v>25,1 0,02 63,8 0,4 10,7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9810148731408572E-2"/>
                  <c:y val="-7.877879848352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61067366579179E-3"/>
                  <c:y val="2.9239574219889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432195975503062E-2"/>
                  <c:y val="7.3767862350539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900474134281552E-2"/>
                  <c:y val="1.0084208223971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600831146106736E-2"/>
                  <c:y val="7.2707057451151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557961504811898E-2"/>
                  <c:y val="-2.34521726450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mieszkalne!$A$23:$E$23</c:f>
              <c:strCache>
                <c:ptCount val="5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olej opałowy</c:v>
                </c:pt>
                <c:pt idx="4">
                  <c:v>drewno</c:v>
                </c:pt>
              </c:strCache>
            </c:strRef>
          </c:cat>
          <c:val>
            <c:numRef>
              <c:f>mieszkalne!$A$24:$E$24</c:f>
              <c:numCache>
                <c:formatCode>0.00</c:formatCode>
                <c:ptCount val="5"/>
                <c:pt idx="0" formatCode="0.0">
                  <c:v>25.052834727643887</c:v>
                </c:pt>
                <c:pt idx="1">
                  <c:v>2.3295957009460105E-2</c:v>
                </c:pt>
                <c:pt idx="2" formatCode="0.0">
                  <c:v>63.782890540482988</c:v>
                </c:pt>
                <c:pt idx="3" formatCode="0.0">
                  <c:v>0.43681693131385396</c:v>
                </c:pt>
                <c:pt idx="4" formatCode="0.0">
                  <c:v>10.7041618435498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dla budynków PUH [% zużycia]</a:t>
            </a:r>
          </a:p>
        </c:rich>
      </c:tx>
      <c:layout>
        <c:manualLayout>
          <c:xMode val="edge"/>
          <c:yMode val="edge"/>
          <c:x val="0.11718008270548917"/>
          <c:y val="1.8782902137232872E-2"/>
        </c:manualLayout>
      </c:layout>
      <c:overlay val="1"/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16710411198E-2"/>
          <c:y val="0.11342592592592593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'handel usługi przed.'!$A$16:$D$16</c:f>
              <c:strCache>
                <c:ptCount val="1"/>
                <c:pt idx="0">
                  <c:v>18,9 0,04 63,2 17,9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8143153980752407E-2"/>
                  <c:y val="-5.35046660834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125874890638669E-2"/>
                  <c:y val="9.1542723826188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20687701807058E-2"/>
                  <c:y val="-6.301799775028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585641722842289E-2"/>
                  <c:y val="3.881139857517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94400699912511E-3"/>
                  <c:y val="5.7163167104111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'handel usługi przed.'!$A$15:$D$15</c:f>
              <c:strCache>
                <c:ptCount val="4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drewno</c:v>
                </c:pt>
              </c:strCache>
            </c:strRef>
          </c:cat>
          <c:val>
            <c:numRef>
              <c:f>'handel usługi przed.'!$A$16:$D$16</c:f>
              <c:numCache>
                <c:formatCode>0.00</c:formatCode>
                <c:ptCount val="4"/>
                <c:pt idx="0" formatCode="0.0">
                  <c:v>18.885787606297335</c:v>
                </c:pt>
                <c:pt idx="1">
                  <c:v>3.5348251548600634E-2</c:v>
                </c:pt>
                <c:pt idx="2" formatCode="0.0">
                  <c:v>63.204449013436559</c:v>
                </c:pt>
                <c:pt idx="3" formatCode="0.0">
                  <c:v>17.874415128717498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Emisja CO</a:t>
            </a:r>
            <a:r>
              <a:rPr lang="pl-PL" sz="1200" baseline="-25000"/>
              <a:t>2</a:t>
            </a:r>
            <a:r>
              <a:rPr lang="pl-PL" sz="1200"/>
              <a:t> na terenie gminy dla budynków PUH </a:t>
            </a:r>
            <a:r>
              <a:rPr lang="pl-PL" sz="1200" baseline="0"/>
              <a:t> </a:t>
            </a:r>
            <a:r>
              <a:rPr lang="pl-PL" sz="1200"/>
              <a:t>[% tCO</a:t>
            </a:r>
            <a:r>
              <a:rPr lang="pl-PL" sz="1200" baseline="-25000"/>
              <a:t>2</a:t>
            </a:r>
            <a:r>
              <a:rPr lang="pl-PL" sz="1200"/>
              <a:t>/rok]</a:t>
            </a:r>
          </a:p>
        </c:rich>
      </c:tx>
      <c:layout>
        <c:manualLayout>
          <c:xMode val="edge"/>
          <c:yMode val="edge"/>
          <c:x val="0.13874204573349194"/>
          <c:y val="2.3148148148148147E-2"/>
        </c:manualLayout>
      </c:layout>
      <c:overlay val="1"/>
    </c:title>
    <c:autoTitleDeleted val="0"/>
    <c:view3D>
      <c:rotX val="30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779810797031674E-2"/>
          <c:y val="0.12268518518518519"/>
          <c:w val="0.60800392756660815"/>
          <c:h val="0.77314814814814814"/>
        </c:manualLayout>
      </c:layout>
      <c:pie3DChart>
        <c:varyColors val="1"/>
        <c:ser>
          <c:idx val="0"/>
          <c:order val="0"/>
          <c:tx>
            <c:strRef>
              <c:f>'handel usługi przed.'!$A$24:$D$24</c:f>
              <c:strCache>
                <c:ptCount val="1"/>
                <c:pt idx="0">
                  <c:v>37,6 0,02 53,6 8,8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7468418965614911E-3"/>
                  <c:y val="1.550379119276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937007874015748E-2"/>
                  <c:y val="-3.4798410615339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507764654418199E-2"/>
                  <c:y val="2.03346456692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78215223097113E-2"/>
                  <c:y val="4.005176436278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'handel usługi przed.'!$A$23:$D$23</c:f>
              <c:strCache>
                <c:ptCount val="4"/>
                <c:pt idx="0">
                  <c:v>energia elektryczna</c:v>
                </c:pt>
                <c:pt idx="1">
                  <c:v>gaz płynny</c:v>
                </c:pt>
                <c:pt idx="2">
                  <c:v>węgiel</c:v>
                </c:pt>
                <c:pt idx="3">
                  <c:v>drewno</c:v>
                </c:pt>
              </c:strCache>
            </c:strRef>
          </c:cat>
          <c:val>
            <c:numRef>
              <c:f>'handel usługi przed.'!$A$24:$D$24</c:f>
              <c:numCache>
                <c:formatCode>0.00</c:formatCode>
                <c:ptCount val="4"/>
                <c:pt idx="0" formatCode="0.0">
                  <c:v>37.582017082663725</c:v>
                </c:pt>
                <c:pt idx="1">
                  <c:v>1.9664492799740634E-2</c:v>
                </c:pt>
                <c:pt idx="2" formatCode="0.0">
                  <c:v>53.593572003584441</c:v>
                </c:pt>
                <c:pt idx="3" formatCode="0.0">
                  <c:v>8.8047464209520747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Końcowe zużycie energii na terenie gminy dla budynków PUH [% zużycia]</a:t>
            </a:r>
          </a:p>
        </c:rich>
      </c:tx>
      <c:layout>
        <c:manualLayout>
          <c:xMode val="edge"/>
          <c:yMode val="edge"/>
          <c:x val="0.11718008270548917"/>
          <c:y val="1.8782902137232872E-2"/>
        </c:manualLayout>
      </c:layout>
      <c:overlay val="1"/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16710411198E-2"/>
          <c:y val="0.11342592592592593"/>
          <c:w val="0.56572922134733161"/>
          <c:h val="0.77314814814814814"/>
        </c:manualLayout>
      </c:layout>
      <c:pie3DChart>
        <c:varyColors val="1"/>
        <c:ser>
          <c:idx val="0"/>
          <c:order val="0"/>
          <c:tx>
            <c:strRef>
              <c:f>przemysłowe!$A$16:$D$16</c:f>
              <c:strCache>
                <c:ptCount val="1"/>
                <c:pt idx="0">
                  <c:v>100,0 100,0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2.8143153980752407E-2"/>
                  <c:y val="-5.35046660834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125874890638669E-2"/>
                  <c:y val="9.1542723826188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20687701807058E-2"/>
                  <c:y val="-6.301799775028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585641722842289E-2"/>
                  <c:y val="3.881139857517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94400699912511E-3"/>
                  <c:y val="5.7163167104111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przemysłowe!$A$15:$D$15</c:f>
              <c:strCache>
                <c:ptCount val="2"/>
                <c:pt idx="0">
                  <c:v>energia elektryczna</c:v>
                </c:pt>
                <c:pt idx="1">
                  <c:v>SUMA:</c:v>
                </c:pt>
              </c:strCache>
            </c:strRef>
          </c:cat>
          <c:val>
            <c:numRef>
              <c:f>przemysłowe!$A$16:$D$16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47625</xdr:rowOff>
    </xdr:from>
    <xdr:to>
      <xdr:col>11</xdr:col>
      <xdr:colOff>342900</xdr:colOff>
      <xdr:row>25</xdr:row>
      <xdr:rowOff>47625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25</xdr:row>
      <xdr:rowOff>180975</xdr:rowOff>
    </xdr:from>
    <xdr:to>
      <xdr:col>11</xdr:col>
      <xdr:colOff>381000</xdr:colOff>
      <xdr:row>40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28</xdr:row>
      <xdr:rowOff>9525</xdr:rowOff>
    </xdr:from>
    <xdr:to>
      <xdr:col>3</xdr:col>
      <xdr:colOff>600075</xdr:colOff>
      <xdr:row>44</xdr:row>
      <xdr:rowOff>85725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952499</xdr:colOff>
      <xdr:row>27</xdr:row>
      <xdr:rowOff>190499</xdr:rowOff>
    </xdr:from>
    <xdr:to>
      <xdr:col>8</xdr:col>
      <xdr:colOff>476250</xdr:colOff>
      <xdr:row>44</xdr:row>
      <xdr:rowOff>74082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28</xdr:row>
      <xdr:rowOff>19050</xdr:rowOff>
    </xdr:from>
    <xdr:to>
      <xdr:col>5</xdr:col>
      <xdr:colOff>657224</xdr:colOff>
      <xdr:row>46</xdr:row>
      <xdr:rowOff>133350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171449</xdr:colOff>
      <xdr:row>28</xdr:row>
      <xdr:rowOff>9525</xdr:rowOff>
    </xdr:from>
    <xdr:to>
      <xdr:col>12</xdr:col>
      <xdr:colOff>561974</xdr:colOff>
      <xdr:row>45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19050</xdr:rowOff>
    </xdr:from>
    <xdr:to>
      <xdr:col>3</xdr:col>
      <xdr:colOff>323850</xdr:colOff>
      <xdr:row>45</xdr:row>
      <xdr:rowOff>57150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952499</xdr:colOff>
      <xdr:row>28</xdr:row>
      <xdr:rowOff>0</xdr:rowOff>
    </xdr:from>
    <xdr:to>
      <xdr:col>9</xdr:col>
      <xdr:colOff>9524</xdr:colOff>
      <xdr:row>45</xdr:row>
      <xdr:rowOff>57150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19050</xdr:rowOff>
    </xdr:from>
    <xdr:to>
      <xdr:col>3</xdr:col>
      <xdr:colOff>323850</xdr:colOff>
      <xdr:row>45</xdr:row>
      <xdr:rowOff>57150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952499</xdr:colOff>
      <xdr:row>28</xdr:row>
      <xdr:rowOff>0</xdr:rowOff>
    </xdr:from>
    <xdr:to>
      <xdr:col>9</xdr:col>
      <xdr:colOff>9524</xdr:colOff>
      <xdr:row>45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19050</xdr:rowOff>
    </xdr:from>
    <xdr:to>
      <xdr:col>3</xdr:col>
      <xdr:colOff>323850</xdr:colOff>
      <xdr:row>45</xdr:row>
      <xdr:rowOff>57150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952499</xdr:colOff>
      <xdr:row>28</xdr:row>
      <xdr:rowOff>0</xdr:rowOff>
    </xdr:from>
    <xdr:to>
      <xdr:col>9</xdr:col>
      <xdr:colOff>9524</xdr:colOff>
      <xdr:row>45</xdr:row>
      <xdr:rowOff>57150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19050</xdr:rowOff>
    </xdr:from>
    <xdr:to>
      <xdr:col>3</xdr:col>
      <xdr:colOff>323850</xdr:colOff>
      <xdr:row>45</xdr:row>
      <xdr:rowOff>57150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952499</xdr:colOff>
      <xdr:row>28</xdr:row>
      <xdr:rowOff>0</xdr:rowOff>
    </xdr:from>
    <xdr:to>
      <xdr:col>9</xdr:col>
      <xdr:colOff>9524</xdr:colOff>
      <xdr:row>45</xdr:row>
      <xdr:rowOff>57150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28</xdr:row>
      <xdr:rowOff>19050</xdr:rowOff>
    </xdr:from>
    <xdr:to>
      <xdr:col>5</xdr:col>
      <xdr:colOff>95249</xdr:colOff>
      <xdr:row>45</xdr:row>
      <xdr:rowOff>57150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47624</xdr:colOff>
      <xdr:row>45</xdr:row>
      <xdr:rowOff>57150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47625</xdr:rowOff>
    </xdr:from>
    <xdr:to>
      <xdr:col>9</xdr:col>
      <xdr:colOff>342900</xdr:colOff>
      <xdr:row>25</xdr:row>
      <xdr:rowOff>47625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25</xdr:row>
      <xdr:rowOff>180975</xdr:rowOff>
    </xdr:from>
    <xdr:to>
      <xdr:col>9</xdr:col>
      <xdr:colOff>381000</xdr:colOff>
      <xdr:row>40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28575</xdr:rowOff>
    </xdr:from>
    <xdr:to>
      <xdr:col>16</xdr:col>
      <xdr:colOff>504825</xdr:colOff>
      <xdr:row>15</xdr:row>
      <xdr:rowOff>28575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28575</xdr:rowOff>
    </xdr:from>
    <xdr:to>
      <xdr:col>16</xdr:col>
      <xdr:colOff>457200</xdr:colOff>
      <xdr:row>30</xdr:row>
      <xdr:rowOff>104775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1</xdr:row>
      <xdr:rowOff>85725</xdr:rowOff>
    </xdr:from>
    <xdr:to>
      <xdr:col>16</xdr:col>
      <xdr:colOff>314325</xdr:colOff>
      <xdr:row>15</xdr:row>
      <xdr:rowOff>85725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17</xdr:row>
      <xdr:rowOff>161925</xdr:rowOff>
    </xdr:from>
    <xdr:to>
      <xdr:col>16</xdr:col>
      <xdr:colOff>361950</xdr:colOff>
      <xdr:row>32</xdr:row>
      <xdr:rowOff>47625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0.7</cdr:x>
      <cdr:y>0.66667</cdr:y>
    </cdr:from>
    <cdr:to>
      <cdr:x>0.9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3200400" y="22717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1</xdr:row>
      <xdr:rowOff>85725</xdr:rowOff>
    </xdr:from>
    <xdr:to>
      <xdr:col>16</xdr:col>
      <xdr:colOff>314325</xdr:colOff>
      <xdr:row>15</xdr:row>
      <xdr:rowOff>85725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17</xdr:row>
      <xdr:rowOff>161925</xdr:rowOff>
    </xdr:from>
    <xdr:to>
      <xdr:col>16</xdr:col>
      <xdr:colOff>361950</xdr:colOff>
      <xdr:row>32</xdr:row>
      <xdr:rowOff>47625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7"/>
  <sheetViews>
    <sheetView zoomScale="90" zoomScaleNormal="90" workbookViewId="0">
      <selection activeCell="K1" sqref="K1:M1"/>
    </sheetView>
  </sheetViews>
  <sheetFormatPr defaultRowHeight="12.75" x14ac:dyDescent="0.2"/>
  <cols>
    <col min="1" max="1" width="29.140625" style="5" customWidth="1"/>
    <col min="2" max="2" width="28.7109375" style="5" customWidth="1"/>
    <col min="3" max="3" width="23.140625" style="5" customWidth="1"/>
    <col min="4" max="4" width="26.5703125" style="5" customWidth="1"/>
    <col min="5" max="5" width="27" style="5" customWidth="1"/>
    <col min="6" max="6" width="21.42578125" style="5" customWidth="1"/>
    <col min="7" max="7" width="26.140625" style="5" customWidth="1"/>
    <col min="8" max="8" width="26.28515625" style="5" customWidth="1"/>
    <col min="9" max="9" width="23.85546875" style="5" customWidth="1"/>
    <col min="10" max="10" width="22.28515625" style="5" bestFit="1" customWidth="1"/>
    <col min="11" max="11" width="27.28515625" style="5" customWidth="1"/>
    <col min="12" max="12" width="11.5703125" style="5" bestFit="1" customWidth="1"/>
    <col min="13" max="16384" width="9.140625" style="5"/>
  </cols>
  <sheetData>
    <row r="1" spans="1:13" x14ac:dyDescent="0.2">
      <c r="A1" s="246" t="s">
        <v>23</v>
      </c>
      <c r="B1" s="247"/>
      <c r="C1" s="247"/>
      <c r="D1" s="247"/>
      <c r="E1" s="247"/>
      <c r="F1" s="247"/>
      <c r="G1" s="247"/>
      <c r="H1" s="247"/>
      <c r="I1" s="248"/>
      <c r="J1" s="102"/>
      <c r="K1" s="261" t="s">
        <v>200</v>
      </c>
      <c r="L1" s="262"/>
      <c r="M1" s="263"/>
    </row>
    <row r="2" spans="1:13" x14ac:dyDescent="0.2">
      <c r="A2" s="215"/>
      <c r="B2" s="216" t="s">
        <v>41</v>
      </c>
      <c r="C2" s="216" t="s">
        <v>164</v>
      </c>
      <c r="D2" s="216" t="s">
        <v>42</v>
      </c>
      <c r="E2" s="216" t="s">
        <v>43</v>
      </c>
      <c r="F2" s="216" t="s">
        <v>44</v>
      </c>
      <c r="G2" s="216" t="s">
        <v>45</v>
      </c>
      <c r="H2" s="216" t="s">
        <v>46</v>
      </c>
      <c r="I2" s="216" t="s">
        <v>82</v>
      </c>
      <c r="K2" s="222"/>
      <c r="L2" s="244" t="s">
        <v>201</v>
      </c>
      <c r="M2" s="244" t="s">
        <v>89</v>
      </c>
    </row>
    <row r="3" spans="1:13" ht="14.25" x14ac:dyDescent="0.2">
      <c r="A3" s="103" t="s">
        <v>1</v>
      </c>
      <c r="B3" s="104">
        <v>5766267</v>
      </c>
      <c r="C3" s="105">
        <v>191.8</v>
      </c>
      <c r="D3" s="106">
        <v>4921.8</v>
      </c>
      <c r="E3" s="107">
        <v>29000</v>
      </c>
      <c r="F3" s="104">
        <v>8294.1</v>
      </c>
      <c r="G3" s="108"/>
      <c r="H3" s="108"/>
      <c r="I3" s="108"/>
      <c r="K3" s="103" t="s">
        <v>1</v>
      </c>
      <c r="L3" s="282">
        <v>1269303.6000000001</v>
      </c>
      <c r="M3" s="282">
        <f>L3/1000</f>
        <v>1269.3036000000002</v>
      </c>
    </row>
    <row r="4" spans="1:13" ht="14.25" x14ac:dyDescent="0.2">
      <c r="A4" s="103" t="s">
        <v>24</v>
      </c>
      <c r="B4" s="104">
        <v>419469</v>
      </c>
      <c r="C4" s="108"/>
      <c r="D4" s="107">
        <v>80.77</v>
      </c>
      <c r="E4" s="107">
        <v>87085</v>
      </c>
      <c r="F4" s="107">
        <v>60</v>
      </c>
      <c r="G4" s="107">
        <v>2000</v>
      </c>
      <c r="H4" s="107">
        <v>17500</v>
      </c>
      <c r="I4" s="108"/>
      <c r="K4" s="103" t="s">
        <v>24</v>
      </c>
      <c r="L4" s="281"/>
      <c r="M4" s="281"/>
    </row>
    <row r="5" spans="1:13" ht="14.25" x14ac:dyDescent="0.2">
      <c r="A5" s="103" t="s">
        <v>2</v>
      </c>
      <c r="B5" s="104">
        <v>464930</v>
      </c>
      <c r="C5" s="108"/>
      <c r="D5" s="108"/>
      <c r="E5" s="108"/>
      <c r="F5" s="108"/>
      <c r="G5" s="108"/>
      <c r="H5" s="108"/>
      <c r="I5" s="108"/>
      <c r="K5" s="103" t="s">
        <v>2</v>
      </c>
      <c r="L5" s="281"/>
      <c r="M5" s="281"/>
    </row>
    <row r="6" spans="1:13" ht="14.25" x14ac:dyDescent="0.2">
      <c r="A6" s="103" t="s">
        <v>3</v>
      </c>
      <c r="B6" s="104">
        <v>3617061</v>
      </c>
      <c r="C6" s="104">
        <v>67.7</v>
      </c>
      <c r="D6" s="104">
        <v>1729.3</v>
      </c>
      <c r="E6" s="108"/>
      <c r="F6" s="107">
        <v>2852.8</v>
      </c>
      <c r="G6" s="108"/>
      <c r="H6" s="108"/>
      <c r="I6" s="108"/>
      <c r="K6" s="103" t="s">
        <v>3</v>
      </c>
      <c r="L6" s="281"/>
      <c r="M6" s="281"/>
    </row>
    <row r="7" spans="1:13" ht="14.25" x14ac:dyDescent="0.2">
      <c r="A7" s="103" t="s">
        <v>4</v>
      </c>
      <c r="B7" s="108"/>
      <c r="C7" s="108"/>
      <c r="D7" s="108"/>
      <c r="E7" s="108"/>
      <c r="F7" s="108"/>
      <c r="G7" s="209">
        <v>2758818.2098901574</v>
      </c>
      <c r="H7" s="209">
        <v>4014813.6866629976</v>
      </c>
      <c r="I7" s="209">
        <v>720796.98857973586</v>
      </c>
      <c r="K7" s="103" t="s">
        <v>4</v>
      </c>
      <c r="L7" s="281"/>
      <c r="M7" s="281"/>
    </row>
    <row r="8" spans="1:13" ht="14.25" x14ac:dyDescent="0.2">
      <c r="A8" s="110" t="s">
        <v>19</v>
      </c>
      <c r="B8" s="108"/>
      <c r="C8" s="108"/>
      <c r="D8" s="108"/>
      <c r="E8" s="108"/>
      <c r="F8" s="108"/>
      <c r="G8" s="108"/>
      <c r="H8" s="107">
        <v>26782.68</v>
      </c>
      <c r="I8" s="108"/>
      <c r="K8" s="110" t="s">
        <v>19</v>
      </c>
      <c r="L8" s="281"/>
      <c r="M8" s="281"/>
    </row>
    <row r="9" spans="1:13" ht="14.25" x14ac:dyDescent="0.2">
      <c r="A9" s="110" t="s">
        <v>163</v>
      </c>
      <c r="B9" s="105">
        <v>19387495</v>
      </c>
      <c r="C9" s="108"/>
      <c r="D9" s="108"/>
      <c r="E9" s="108"/>
      <c r="F9" s="108"/>
      <c r="G9" s="108"/>
      <c r="H9" s="108"/>
      <c r="I9" s="108"/>
      <c r="K9" s="110" t="s">
        <v>163</v>
      </c>
      <c r="L9" s="283">
        <v>19605300</v>
      </c>
      <c r="M9" s="283">
        <f t="shared" ref="M4:M9" si="0">L9/1000</f>
        <v>19605.3</v>
      </c>
    </row>
    <row r="10" spans="1:13" x14ac:dyDescent="0.2">
      <c r="A10" s="118" t="s">
        <v>63</v>
      </c>
      <c r="B10" s="167">
        <f>SUM(B3:B9)</f>
        <v>29655222</v>
      </c>
      <c r="C10" s="167">
        <f t="shared" ref="C10:I10" si="1">SUM(C3:C9)</f>
        <v>259.5</v>
      </c>
      <c r="D10" s="167">
        <f t="shared" si="1"/>
        <v>6731.8700000000008</v>
      </c>
      <c r="E10" s="167">
        <f t="shared" si="1"/>
        <v>116085</v>
      </c>
      <c r="F10" s="167">
        <f t="shared" si="1"/>
        <v>11206.900000000001</v>
      </c>
      <c r="G10" s="167">
        <f t="shared" si="1"/>
        <v>2760818.2098901574</v>
      </c>
      <c r="H10" s="167">
        <f t="shared" si="1"/>
        <v>4059096.3666629978</v>
      </c>
      <c r="I10" s="167">
        <f t="shared" si="1"/>
        <v>720796.98857973586</v>
      </c>
      <c r="K10" s="118" t="s">
        <v>63</v>
      </c>
      <c r="L10" s="168">
        <f>SUM(L3:L9)</f>
        <v>20874603.600000001</v>
      </c>
      <c r="M10" s="48">
        <f>SUM(M3:M9)</f>
        <v>20874.603599999999</v>
      </c>
    </row>
    <row r="11" spans="1:13" x14ac:dyDescent="0.2">
      <c r="A11" s="176"/>
      <c r="B11" s="176"/>
      <c r="C11" s="176"/>
      <c r="D11" s="176"/>
      <c r="E11" s="176"/>
      <c r="F11" s="176"/>
      <c r="G11" s="176"/>
      <c r="H11" s="176"/>
      <c r="I11" s="177"/>
      <c r="K11" s="177"/>
      <c r="L11" s="177"/>
      <c r="M11" s="177"/>
    </row>
    <row r="12" spans="1:13" ht="93.75" customHeight="1" x14ac:dyDescent="0.2">
      <c r="A12" s="114"/>
      <c r="B12" s="114"/>
      <c r="C12" s="109"/>
      <c r="E12" s="109"/>
      <c r="F12" s="109"/>
      <c r="H12" s="109"/>
      <c r="I12" s="250" t="s">
        <v>21</v>
      </c>
      <c r="J12" s="250"/>
      <c r="K12" s="250"/>
    </row>
    <row r="13" spans="1:13" x14ac:dyDescent="0.2">
      <c r="A13" s="115"/>
      <c r="B13" s="116"/>
      <c r="C13" s="117"/>
      <c r="E13" s="109"/>
      <c r="F13" s="109"/>
      <c r="H13" s="109"/>
      <c r="I13" s="118" t="s">
        <v>15</v>
      </c>
      <c r="J13" s="86" t="s">
        <v>20</v>
      </c>
      <c r="K13" s="86" t="s">
        <v>54</v>
      </c>
    </row>
    <row r="14" spans="1:13" x14ac:dyDescent="0.2">
      <c r="A14" s="115"/>
      <c r="B14" s="119"/>
      <c r="C14" s="109"/>
      <c r="E14" s="109"/>
      <c r="F14" s="109"/>
      <c r="H14" s="109"/>
      <c r="I14" s="118" t="s">
        <v>16</v>
      </c>
      <c r="J14" s="86">
        <v>9.1999999999999993</v>
      </c>
      <c r="K14" s="86">
        <v>0.72</v>
      </c>
    </row>
    <row r="15" spans="1:13" x14ac:dyDescent="0.2">
      <c r="A15" s="120"/>
      <c r="B15" s="120"/>
      <c r="C15" s="109"/>
      <c r="E15" s="109"/>
      <c r="F15" s="109"/>
      <c r="H15" s="109"/>
      <c r="I15" s="118" t="s">
        <v>7</v>
      </c>
      <c r="J15" s="86">
        <v>10</v>
      </c>
      <c r="K15" s="86">
        <v>0.82</v>
      </c>
    </row>
    <row r="16" spans="1:13" x14ac:dyDescent="0.2">
      <c r="A16" s="109"/>
      <c r="B16" s="109"/>
      <c r="C16" s="109"/>
      <c r="E16" s="109"/>
      <c r="F16" s="109"/>
      <c r="H16" s="109"/>
      <c r="I16" s="118" t="s">
        <v>17</v>
      </c>
      <c r="J16" s="86">
        <v>6.95</v>
      </c>
      <c r="K16" s="86">
        <v>0.54</v>
      </c>
    </row>
    <row r="17" spans="1:12" x14ac:dyDescent="0.2">
      <c r="A17" s="254" t="s">
        <v>142</v>
      </c>
      <c r="B17" s="254"/>
      <c r="C17" s="254"/>
      <c r="D17" s="254"/>
      <c r="E17" s="254"/>
      <c r="F17" s="254"/>
      <c r="G17" s="254"/>
      <c r="H17" s="254"/>
      <c r="I17" s="254"/>
    </row>
    <row r="18" spans="1:12" x14ac:dyDescent="0.2">
      <c r="A18" s="246" t="s">
        <v>9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8"/>
    </row>
    <row r="19" spans="1:12" x14ac:dyDescent="0.2">
      <c r="A19" s="217"/>
      <c r="B19" s="216" t="s">
        <v>0</v>
      </c>
      <c r="C19" s="216" t="s">
        <v>165</v>
      </c>
      <c r="D19" s="216" t="s">
        <v>5</v>
      </c>
      <c r="E19" s="216" t="s">
        <v>6</v>
      </c>
      <c r="F19" s="216" t="s">
        <v>13</v>
      </c>
      <c r="G19" s="216" t="s">
        <v>8</v>
      </c>
      <c r="H19" s="216" t="s">
        <v>7</v>
      </c>
      <c r="I19" s="216" t="s">
        <v>14</v>
      </c>
      <c r="J19" s="216" t="s">
        <v>11</v>
      </c>
      <c r="K19" s="249" t="s">
        <v>127</v>
      </c>
      <c r="L19" s="249"/>
    </row>
    <row r="20" spans="1:12" ht="14.25" x14ac:dyDescent="0.2">
      <c r="A20" s="121" t="s">
        <v>1</v>
      </c>
      <c r="B20" s="122">
        <f>B3/1000</f>
        <v>5766.2669999999998</v>
      </c>
      <c r="C20" s="123">
        <f>C3/10</f>
        <v>19.18</v>
      </c>
      <c r="D20" s="122">
        <f>D3*7</f>
        <v>34452.6</v>
      </c>
      <c r="E20" s="122">
        <f>(E3*10.09)/1000</f>
        <v>292.61</v>
      </c>
      <c r="F20" s="122">
        <f>(F3*1200)/1000</f>
        <v>9952.92</v>
      </c>
      <c r="G20" s="108"/>
      <c r="H20" s="108"/>
      <c r="I20" s="124"/>
      <c r="J20" s="125">
        <f t="shared" ref="J20:J26" si="2">SUM(B20:I20)</f>
        <v>50483.576999999997</v>
      </c>
      <c r="K20" s="126">
        <f>SUM(C20:F20)</f>
        <v>44717.31</v>
      </c>
    </row>
    <row r="21" spans="1:12" ht="14.25" x14ac:dyDescent="0.2">
      <c r="A21" s="103" t="s">
        <v>24</v>
      </c>
      <c r="B21" s="122">
        <f t="shared" ref="B21:B26" si="3">B4/1000</f>
        <v>419.46899999999999</v>
      </c>
      <c r="C21" s="108"/>
      <c r="D21" s="122">
        <f t="shared" ref="D21:D23" si="4">D4*7</f>
        <v>565.39</v>
      </c>
      <c r="E21" s="122">
        <f t="shared" ref="E21" si="5">(E4*10.09)/1000</f>
        <v>878.68765000000008</v>
      </c>
      <c r="F21" s="122">
        <f t="shared" ref="F21:F23" si="6">(F4*1200)/1000</f>
        <v>72</v>
      </c>
      <c r="G21" s="4">
        <f>(G4*J14)/1000</f>
        <v>18.399999999999999</v>
      </c>
      <c r="H21" s="4">
        <f>(H4*J15)/1000</f>
        <v>175</v>
      </c>
      <c r="I21" s="108"/>
      <c r="J21" s="56">
        <f t="shared" si="2"/>
        <v>2128.9466499999999</v>
      </c>
    </row>
    <row r="22" spans="1:12" ht="14.25" x14ac:dyDescent="0.2">
      <c r="A22" s="103" t="s">
        <v>2</v>
      </c>
      <c r="B22" s="122">
        <f t="shared" si="3"/>
        <v>464.93</v>
      </c>
      <c r="C22" s="108"/>
      <c r="D22" s="108"/>
      <c r="E22" s="108"/>
      <c r="F22" s="108"/>
      <c r="G22" s="108"/>
      <c r="H22" s="108"/>
      <c r="I22" s="108"/>
      <c r="J22" s="56">
        <f t="shared" si="2"/>
        <v>464.93</v>
      </c>
    </row>
    <row r="23" spans="1:12" ht="14.25" x14ac:dyDescent="0.2">
      <c r="A23" s="103" t="s">
        <v>3</v>
      </c>
      <c r="B23" s="122">
        <f t="shared" si="3"/>
        <v>3617.0610000000001</v>
      </c>
      <c r="C23" s="123">
        <f t="shared" ref="C23" si="7">C6/10</f>
        <v>6.7700000000000005</v>
      </c>
      <c r="D23" s="122">
        <f t="shared" si="4"/>
        <v>12105.1</v>
      </c>
      <c r="E23" s="108"/>
      <c r="F23" s="122">
        <f t="shared" si="6"/>
        <v>3423.36</v>
      </c>
      <c r="G23" s="108"/>
      <c r="H23" s="108"/>
      <c r="I23" s="108"/>
      <c r="J23" s="56">
        <f t="shared" si="2"/>
        <v>19152.291000000001</v>
      </c>
    </row>
    <row r="24" spans="1:12" ht="14.25" x14ac:dyDescent="0.2">
      <c r="A24" s="103" t="s">
        <v>4</v>
      </c>
      <c r="B24" s="108"/>
      <c r="C24" s="108"/>
      <c r="D24" s="108"/>
      <c r="E24" s="108"/>
      <c r="F24" s="108"/>
      <c r="G24" s="4">
        <f>(G7*J14)/1000</f>
        <v>25381.127530989444</v>
      </c>
      <c r="H24" s="4">
        <f>(H7*J15)/1000</f>
        <v>40148.136866629975</v>
      </c>
      <c r="I24" s="4">
        <f>(I7*J16)/1000</f>
        <v>5009.5390706291646</v>
      </c>
      <c r="J24" s="56">
        <f t="shared" si="2"/>
        <v>70538.803468248589</v>
      </c>
    </row>
    <row r="25" spans="1:12" ht="14.25" x14ac:dyDescent="0.2">
      <c r="A25" s="110" t="s">
        <v>19</v>
      </c>
      <c r="B25" s="108"/>
      <c r="C25" s="108"/>
      <c r="D25" s="108"/>
      <c r="E25" s="108"/>
      <c r="F25" s="108"/>
      <c r="G25" s="36"/>
      <c r="H25" s="4">
        <f>(H8*J15)/1000</f>
        <v>267.82679999999999</v>
      </c>
      <c r="I25" s="36"/>
      <c r="J25" s="56">
        <f t="shared" si="2"/>
        <v>267.82679999999999</v>
      </c>
    </row>
    <row r="26" spans="1:12" ht="14.25" x14ac:dyDescent="0.2">
      <c r="A26" s="110" t="s">
        <v>163</v>
      </c>
      <c r="B26" s="122">
        <f t="shared" si="3"/>
        <v>19387.494999999999</v>
      </c>
      <c r="C26" s="108"/>
      <c r="D26" s="108"/>
      <c r="E26" s="108"/>
      <c r="F26" s="108"/>
      <c r="G26" s="108"/>
      <c r="H26" s="108"/>
      <c r="I26" s="36"/>
      <c r="J26" s="56">
        <f t="shared" si="2"/>
        <v>19387.494999999999</v>
      </c>
    </row>
    <row r="27" spans="1:12" x14ac:dyDescent="0.2">
      <c r="A27" s="111" t="s">
        <v>63</v>
      </c>
      <c r="B27" s="112">
        <f>SUM(B20:B26)</f>
        <v>29655.222000000002</v>
      </c>
      <c r="C27" s="112">
        <f t="shared" ref="C27:I27" si="8">SUM(C20:C26)</f>
        <v>25.95</v>
      </c>
      <c r="D27" s="112">
        <f t="shared" si="8"/>
        <v>47123.09</v>
      </c>
      <c r="E27" s="112">
        <f t="shared" si="8"/>
        <v>1171.29765</v>
      </c>
      <c r="F27" s="112">
        <f t="shared" si="8"/>
        <v>13448.28</v>
      </c>
      <c r="G27" s="112">
        <f t="shared" si="8"/>
        <v>25399.527530989446</v>
      </c>
      <c r="H27" s="112">
        <f t="shared" si="8"/>
        <v>40590.963666629978</v>
      </c>
      <c r="I27" s="112">
        <f t="shared" si="8"/>
        <v>5009.5390706291646</v>
      </c>
      <c r="J27" s="112">
        <f>SUM(J20:J26)</f>
        <v>162423.86991824859</v>
      </c>
    </row>
    <row r="28" spans="1:12" x14ac:dyDescent="0.2">
      <c r="A28" s="113"/>
      <c r="B28" s="127"/>
      <c r="C28" s="128"/>
      <c r="D28" s="129"/>
      <c r="E28" s="129"/>
      <c r="F28" s="129"/>
      <c r="G28" s="130"/>
      <c r="H28" s="130"/>
      <c r="I28" s="130"/>
      <c r="J28" s="127"/>
    </row>
    <row r="29" spans="1:12" x14ac:dyDescent="0.2">
      <c r="A29" s="109"/>
      <c r="B29" s="109"/>
      <c r="C29" s="109"/>
      <c r="D29" s="109"/>
      <c r="E29" s="109"/>
      <c r="F29" s="109"/>
      <c r="G29" s="109"/>
      <c r="H29" s="109"/>
      <c r="I29" s="131"/>
    </row>
    <row r="30" spans="1:12" x14ac:dyDescent="0.2">
      <c r="A30" s="254" t="s">
        <v>141</v>
      </c>
      <c r="B30" s="254"/>
      <c r="C30" s="254"/>
      <c r="D30" s="254"/>
      <c r="E30" s="254"/>
      <c r="F30" s="254"/>
      <c r="G30" s="254"/>
      <c r="H30" s="254"/>
      <c r="I30" s="254"/>
    </row>
    <row r="31" spans="1:12" x14ac:dyDescent="0.2">
      <c r="A31" s="246" t="s">
        <v>53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8"/>
    </row>
    <row r="32" spans="1:12" x14ac:dyDescent="0.2">
      <c r="A32" s="217"/>
      <c r="B32" s="216" t="s">
        <v>0</v>
      </c>
      <c r="C32" s="216" t="s">
        <v>165</v>
      </c>
      <c r="D32" s="216" t="s">
        <v>5</v>
      </c>
      <c r="E32" s="216" t="s">
        <v>6</v>
      </c>
      <c r="F32" s="216" t="s">
        <v>13</v>
      </c>
      <c r="G32" s="216" t="s">
        <v>8</v>
      </c>
      <c r="H32" s="216" t="s">
        <v>7</v>
      </c>
      <c r="I32" s="216" t="s">
        <v>14</v>
      </c>
      <c r="J32" s="216" t="s">
        <v>11</v>
      </c>
      <c r="K32" s="246" t="s">
        <v>127</v>
      </c>
      <c r="L32" s="248"/>
    </row>
    <row r="33" spans="1:12" x14ac:dyDescent="0.2">
      <c r="A33" s="121" t="s">
        <v>1</v>
      </c>
      <c r="B33" s="125">
        <f>(B3*3.6)/1000</f>
        <v>20758.5612</v>
      </c>
      <c r="C33" s="132">
        <f>C3*36</f>
        <v>6904.8</v>
      </c>
      <c r="D33" s="125">
        <f>D3*25.2</f>
        <v>124029.36</v>
      </c>
      <c r="E33" s="125">
        <f>E3*0.00086*42.6</f>
        <v>1062.444</v>
      </c>
      <c r="F33" s="125">
        <f>F3*4.32</f>
        <v>35830.512000000002</v>
      </c>
      <c r="G33" s="133"/>
      <c r="H33" s="133"/>
      <c r="I33" s="133"/>
      <c r="J33" s="125">
        <f t="shared" ref="J33:J39" si="9">SUM(B33:I33)</f>
        <v>188585.67719999998</v>
      </c>
      <c r="K33" s="126">
        <f>SUM(C33:F33)</f>
        <v>167827.11599999998</v>
      </c>
    </row>
    <row r="34" spans="1:12" ht="14.25" x14ac:dyDescent="0.2">
      <c r="A34" s="103" t="s">
        <v>24</v>
      </c>
      <c r="B34" s="125">
        <f t="shared" ref="B34:B39" si="10">(B4*3.6)/1000</f>
        <v>1510.0884000000001</v>
      </c>
      <c r="C34" s="108"/>
      <c r="D34" s="125">
        <f t="shared" ref="D34:D36" si="11">D4*25.2</f>
        <v>2035.4039999999998</v>
      </c>
      <c r="E34" s="125">
        <f>E4*0.00086*42.6</f>
        <v>3190.4460600000002</v>
      </c>
      <c r="F34" s="125">
        <f t="shared" ref="F34:F36" si="12">F4*4.32</f>
        <v>259.20000000000005</v>
      </c>
      <c r="G34" s="56">
        <f>G21*3.6</f>
        <v>66.239999999999995</v>
      </c>
      <c r="H34" s="56">
        <f>H21*3.6</f>
        <v>630</v>
      </c>
      <c r="I34" s="49"/>
      <c r="J34" s="56">
        <f t="shared" si="9"/>
        <v>7691.3784599999999</v>
      </c>
    </row>
    <row r="35" spans="1:12" ht="14.25" x14ac:dyDescent="0.2">
      <c r="A35" s="103" t="s">
        <v>2</v>
      </c>
      <c r="B35" s="125">
        <f t="shared" si="10"/>
        <v>1673.748</v>
      </c>
      <c r="C35" s="108"/>
      <c r="D35" s="108"/>
      <c r="E35" s="108"/>
      <c r="F35" s="108"/>
      <c r="G35" s="108"/>
      <c r="H35" s="108"/>
      <c r="I35" s="49"/>
      <c r="J35" s="56">
        <f t="shared" si="9"/>
        <v>1673.748</v>
      </c>
    </row>
    <row r="36" spans="1:12" ht="14.25" x14ac:dyDescent="0.2">
      <c r="A36" s="103" t="s">
        <v>3</v>
      </c>
      <c r="B36" s="125">
        <f t="shared" si="10"/>
        <v>13021.419599999999</v>
      </c>
      <c r="C36" s="132">
        <f>C6*36</f>
        <v>2437.2000000000003</v>
      </c>
      <c r="D36" s="125">
        <f t="shared" si="11"/>
        <v>43578.36</v>
      </c>
      <c r="E36" s="108"/>
      <c r="F36" s="125">
        <f t="shared" si="12"/>
        <v>12324.096000000001</v>
      </c>
      <c r="G36" s="108"/>
      <c r="H36" s="108"/>
      <c r="I36" s="49"/>
      <c r="J36" s="56">
        <f t="shared" si="9"/>
        <v>71361.075599999996</v>
      </c>
    </row>
    <row r="37" spans="1:12" ht="14.25" x14ac:dyDescent="0.2">
      <c r="A37" s="103" t="s">
        <v>4</v>
      </c>
      <c r="B37" s="108"/>
      <c r="C37" s="108"/>
      <c r="D37" s="108"/>
      <c r="E37" s="108"/>
      <c r="F37" s="108"/>
      <c r="G37" s="56">
        <f>G24*3.6</f>
        <v>91372.059111562005</v>
      </c>
      <c r="H37" s="56">
        <f>H24*3.6</f>
        <v>144533.29271986792</v>
      </c>
      <c r="I37" s="56">
        <f>I24*3.6</f>
        <v>18034.340654264994</v>
      </c>
      <c r="J37" s="56">
        <f t="shared" si="9"/>
        <v>253939.69248569492</v>
      </c>
    </row>
    <row r="38" spans="1:12" ht="14.25" x14ac:dyDescent="0.2">
      <c r="A38" s="110" t="s">
        <v>19</v>
      </c>
      <c r="B38" s="108"/>
      <c r="C38" s="108"/>
      <c r="D38" s="108"/>
      <c r="E38" s="108"/>
      <c r="F38" s="108"/>
      <c r="G38" s="49"/>
      <c r="H38" s="56">
        <f>H25*3.6</f>
        <v>964.17647999999997</v>
      </c>
      <c r="I38" s="49"/>
      <c r="J38" s="56">
        <f t="shared" si="9"/>
        <v>964.17647999999997</v>
      </c>
    </row>
    <row r="39" spans="1:12" ht="14.25" x14ac:dyDescent="0.2">
      <c r="A39" s="110" t="s">
        <v>163</v>
      </c>
      <c r="B39" s="125">
        <f t="shared" si="10"/>
        <v>69794.982000000004</v>
      </c>
      <c r="C39" s="108"/>
      <c r="D39" s="108"/>
      <c r="E39" s="108"/>
      <c r="F39" s="108"/>
      <c r="G39" s="49"/>
      <c r="H39" s="108"/>
      <c r="I39" s="49"/>
      <c r="J39" s="56">
        <f t="shared" si="9"/>
        <v>69794.982000000004</v>
      </c>
    </row>
    <row r="40" spans="1:12" x14ac:dyDescent="0.2">
      <c r="A40" s="111" t="s">
        <v>63</v>
      </c>
      <c r="B40" s="112">
        <f>SUM(B33:B39)</f>
        <v>106758.79920000001</v>
      </c>
      <c r="C40" s="112">
        <f>SUM(C33:C39)</f>
        <v>9342</v>
      </c>
      <c r="D40" s="112">
        <f t="shared" ref="D40:I40" si="13">SUM(D33:D39)</f>
        <v>169643.12400000001</v>
      </c>
      <c r="E40" s="112">
        <f>SUM(E33:E39)</f>
        <v>4252.8900599999997</v>
      </c>
      <c r="F40" s="112">
        <f t="shared" si="13"/>
        <v>48413.808000000005</v>
      </c>
      <c r="G40" s="112">
        <f t="shared" si="13"/>
        <v>91438.29911156201</v>
      </c>
      <c r="H40" s="112">
        <f t="shared" si="13"/>
        <v>146127.46919986792</v>
      </c>
      <c r="I40" s="112">
        <f t="shared" si="13"/>
        <v>18034.340654264994</v>
      </c>
      <c r="J40" s="112">
        <f>SUM(J33:J39)</f>
        <v>594010.73022569483</v>
      </c>
      <c r="L40" s="126"/>
    </row>
    <row r="41" spans="1:12" x14ac:dyDescent="0.2">
      <c r="A41" s="113"/>
      <c r="B41" s="127"/>
      <c r="C41" s="128"/>
      <c r="D41" s="129"/>
      <c r="E41" s="129"/>
      <c r="F41" s="129"/>
      <c r="G41" s="130"/>
      <c r="H41" s="130"/>
      <c r="I41" s="130"/>
      <c r="J41" s="127"/>
    </row>
    <row r="42" spans="1:12" x14ac:dyDescent="0.2">
      <c r="A42" s="109"/>
      <c r="B42" s="109"/>
      <c r="C42" s="109"/>
      <c r="D42" s="109"/>
      <c r="E42" s="109"/>
      <c r="F42" s="109"/>
      <c r="G42" s="109"/>
      <c r="H42" s="109"/>
      <c r="I42" s="131"/>
    </row>
    <row r="43" spans="1:12" x14ac:dyDescent="0.2">
      <c r="A43" s="216"/>
      <c r="B43" s="216" t="s">
        <v>0</v>
      </c>
      <c r="C43" s="216" t="s">
        <v>165</v>
      </c>
      <c r="D43" s="216" t="s">
        <v>5</v>
      </c>
      <c r="E43" s="216" t="s">
        <v>6</v>
      </c>
      <c r="F43" s="216" t="s">
        <v>13</v>
      </c>
      <c r="G43" s="216" t="s">
        <v>12</v>
      </c>
      <c r="H43" s="216" t="s">
        <v>7</v>
      </c>
      <c r="I43" s="216" t="s">
        <v>18</v>
      </c>
    </row>
    <row r="44" spans="1:12" ht="58.5" customHeight="1" x14ac:dyDescent="0.2">
      <c r="A44" s="92" t="s">
        <v>48</v>
      </c>
      <c r="B44" s="86">
        <v>0.81200000000000006</v>
      </c>
      <c r="C44" s="86">
        <v>0.22700000000000001</v>
      </c>
      <c r="D44" s="86">
        <v>0.34599999999999997</v>
      </c>
      <c r="E44" s="86">
        <v>0.27900000000000003</v>
      </c>
      <c r="F44" s="86">
        <v>0.20100000000000001</v>
      </c>
      <c r="G44" s="86">
        <v>0.249</v>
      </c>
      <c r="H44" s="86">
        <v>0.26700000000000002</v>
      </c>
      <c r="I44" s="86">
        <v>0.22700000000000001</v>
      </c>
    </row>
    <row r="45" spans="1:12" x14ac:dyDescent="0.2">
      <c r="A45" s="109"/>
      <c r="B45" s="134"/>
      <c r="C45" s="109"/>
      <c r="D45" s="109"/>
      <c r="E45" s="134"/>
      <c r="F45" s="109"/>
      <c r="G45" s="109"/>
      <c r="H45" s="109"/>
      <c r="I45" s="109"/>
    </row>
    <row r="46" spans="1:12" x14ac:dyDescent="0.2">
      <c r="A46" s="254" t="s">
        <v>52</v>
      </c>
      <c r="B46" s="254"/>
      <c r="C46" s="254"/>
      <c r="D46" s="254"/>
      <c r="E46" s="254"/>
      <c r="F46" s="254"/>
      <c r="G46" s="254"/>
      <c r="H46" s="254"/>
      <c r="I46" s="254"/>
    </row>
    <row r="47" spans="1:12" x14ac:dyDescent="0.2">
      <c r="A47" s="246" t="s">
        <v>22</v>
      </c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8"/>
    </row>
    <row r="48" spans="1:12" x14ac:dyDescent="0.2">
      <c r="A48" s="217"/>
      <c r="B48" s="216" t="s">
        <v>0</v>
      </c>
      <c r="C48" s="216" t="s">
        <v>165</v>
      </c>
      <c r="D48" s="216" t="s">
        <v>5</v>
      </c>
      <c r="E48" s="216" t="s">
        <v>6</v>
      </c>
      <c r="F48" s="216" t="s">
        <v>13</v>
      </c>
      <c r="G48" s="216" t="s">
        <v>8</v>
      </c>
      <c r="H48" s="216" t="s">
        <v>7</v>
      </c>
      <c r="I48" s="216" t="s">
        <v>14</v>
      </c>
      <c r="J48" s="216" t="s">
        <v>11</v>
      </c>
      <c r="K48" s="249" t="s">
        <v>127</v>
      </c>
      <c r="L48" s="249"/>
    </row>
    <row r="49" spans="1:12" x14ac:dyDescent="0.2">
      <c r="A49" s="103" t="s">
        <v>1</v>
      </c>
      <c r="B49" s="56">
        <f>B20*$B$44</f>
        <v>4682.2088039999999</v>
      </c>
      <c r="C49" s="135">
        <f>C20*$C$44</f>
        <v>4.3538600000000001</v>
      </c>
      <c r="D49" s="56">
        <f>D20*$D$44</f>
        <v>11920.599599999998</v>
      </c>
      <c r="E49" s="56">
        <f>E20*$E$44</f>
        <v>81.638190000000009</v>
      </c>
      <c r="F49" s="56">
        <f>F20*$F$44</f>
        <v>2000.5369200000002</v>
      </c>
      <c r="G49" s="130"/>
      <c r="H49" s="130"/>
      <c r="I49" s="136"/>
      <c r="J49" s="56">
        <f>SUM(B49:I49)</f>
        <v>18689.337373999999</v>
      </c>
      <c r="K49" s="16">
        <f>SUM(C49:F49)</f>
        <v>14007.128569999997</v>
      </c>
      <c r="L49" s="43"/>
    </row>
    <row r="50" spans="1:12" ht="14.25" x14ac:dyDescent="0.2">
      <c r="A50" s="121" t="s">
        <v>24</v>
      </c>
      <c r="B50" s="56">
        <f t="shared" ref="B50:B55" si="14">B21*$B$44</f>
        <v>340.60882800000002</v>
      </c>
      <c r="C50" s="108"/>
      <c r="D50" s="56">
        <f>D21*$D$44</f>
        <v>195.62493999999998</v>
      </c>
      <c r="E50" s="56">
        <f>E21*$E$44</f>
        <v>245.15385435000005</v>
      </c>
      <c r="F50" s="56">
        <f t="shared" ref="F50:F52" si="15">F21*$F$44</f>
        <v>14.472000000000001</v>
      </c>
      <c r="G50" s="56">
        <f>G21*G44</f>
        <v>4.5815999999999999</v>
      </c>
      <c r="H50" s="56">
        <f>H21*H44</f>
        <v>46.725000000000001</v>
      </c>
      <c r="I50" s="137"/>
      <c r="J50" s="125">
        <f>SUM(B50:I50)</f>
        <v>847.16622235000011</v>
      </c>
    </row>
    <row r="51" spans="1:12" ht="14.25" x14ac:dyDescent="0.2">
      <c r="A51" s="103" t="s">
        <v>2</v>
      </c>
      <c r="B51" s="56">
        <f t="shared" si="14"/>
        <v>377.52316000000002</v>
      </c>
      <c r="C51" s="108"/>
      <c r="D51" s="108"/>
      <c r="E51" s="108"/>
      <c r="F51" s="108"/>
      <c r="G51" s="108"/>
      <c r="H51" s="49"/>
      <c r="I51" s="130"/>
      <c r="J51" s="56">
        <f>SUM(B51:I51)</f>
        <v>377.52316000000002</v>
      </c>
    </row>
    <row r="52" spans="1:12" ht="14.25" x14ac:dyDescent="0.2">
      <c r="A52" s="103" t="s">
        <v>3</v>
      </c>
      <c r="B52" s="56">
        <f t="shared" si="14"/>
        <v>2937.0535320000004</v>
      </c>
      <c r="C52" s="135">
        <f>C23*$C$44</f>
        <v>1.5367900000000001</v>
      </c>
      <c r="D52" s="56">
        <f>D23*$D$44</f>
        <v>4188.3645999999999</v>
      </c>
      <c r="E52" s="108"/>
      <c r="F52" s="56">
        <f t="shared" si="15"/>
        <v>688.09536000000003</v>
      </c>
      <c r="G52" s="108"/>
      <c r="H52" s="49"/>
      <c r="I52" s="130"/>
      <c r="J52" s="56">
        <f>SUM(B52:I52)</f>
        <v>7815.0502820000011</v>
      </c>
    </row>
    <row r="53" spans="1:12" ht="14.25" x14ac:dyDescent="0.2">
      <c r="A53" s="103" t="s">
        <v>4</v>
      </c>
      <c r="B53" s="108"/>
      <c r="C53" s="108"/>
      <c r="D53" s="108"/>
      <c r="E53" s="108"/>
      <c r="F53" s="108"/>
      <c r="G53" s="56">
        <f>G24*G44</f>
        <v>6319.9007552163721</v>
      </c>
      <c r="H53" s="56">
        <f>H24*H44</f>
        <v>10719.552543390204</v>
      </c>
      <c r="I53" s="56">
        <f>I24*I44</f>
        <v>1137.1653690328203</v>
      </c>
      <c r="J53" s="56">
        <f>SUM(B53:I53)</f>
        <v>18176.618667639395</v>
      </c>
    </row>
    <row r="54" spans="1:12" ht="14.25" x14ac:dyDescent="0.2">
      <c r="A54" s="110" t="s">
        <v>19</v>
      </c>
      <c r="B54" s="108"/>
      <c r="C54" s="108"/>
      <c r="D54" s="108"/>
      <c r="E54" s="108"/>
      <c r="F54" s="108"/>
      <c r="G54" s="130"/>
      <c r="H54" s="56">
        <f>H25*H44</f>
        <v>71.509755600000005</v>
      </c>
      <c r="I54" s="130"/>
      <c r="J54" s="56">
        <f>SUM(G54:I54)</f>
        <v>71.509755600000005</v>
      </c>
    </row>
    <row r="55" spans="1:12" ht="14.25" x14ac:dyDescent="0.2">
      <c r="A55" s="110" t="s">
        <v>163</v>
      </c>
      <c r="B55" s="56">
        <f t="shared" si="14"/>
        <v>15742.64594</v>
      </c>
      <c r="C55" s="108"/>
      <c r="D55" s="108"/>
      <c r="E55" s="108"/>
      <c r="F55" s="108"/>
      <c r="G55" s="130"/>
      <c r="H55" s="108"/>
      <c r="I55" s="130"/>
      <c r="J55" s="56">
        <f>SUM(B55:I55)</f>
        <v>15742.64594</v>
      </c>
    </row>
    <row r="56" spans="1:12" x14ac:dyDescent="0.2">
      <c r="A56" s="111" t="s">
        <v>63</v>
      </c>
      <c r="B56" s="112">
        <f>SUM(B49:B55)</f>
        <v>24080.040264000003</v>
      </c>
      <c r="C56" s="112">
        <f t="shared" ref="C56:I56" si="16">SUM(C49:C55)</f>
        <v>5.8906499999999999</v>
      </c>
      <c r="D56" s="112">
        <f t="shared" si="16"/>
        <v>16304.589139999996</v>
      </c>
      <c r="E56" s="112">
        <f t="shared" si="16"/>
        <v>326.79204435000008</v>
      </c>
      <c r="F56" s="112">
        <f t="shared" si="16"/>
        <v>2703.1042800000005</v>
      </c>
      <c r="G56" s="112">
        <f t="shared" si="16"/>
        <v>6324.4823552163725</v>
      </c>
      <c r="H56" s="112">
        <f t="shared" si="16"/>
        <v>10837.787298990204</v>
      </c>
      <c r="I56" s="112">
        <f t="shared" si="16"/>
        <v>1137.1653690328203</v>
      </c>
      <c r="J56" s="112">
        <f>SUM(J49:J55)</f>
        <v>61719.851401589389</v>
      </c>
    </row>
    <row r="57" spans="1:12" x14ac:dyDescent="0.2">
      <c r="A57" s="113"/>
      <c r="B57" s="49"/>
      <c r="C57" s="49"/>
      <c r="D57" s="127"/>
      <c r="E57" s="127"/>
      <c r="F57" s="127"/>
      <c r="G57" s="130"/>
      <c r="H57" s="130"/>
      <c r="I57" s="130"/>
      <c r="J57" s="127"/>
    </row>
    <row r="58" spans="1:12" x14ac:dyDescent="0.2">
      <c r="A58" s="109"/>
      <c r="B58" s="109"/>
      <c r="C58" s="109"/>
      <c r="D58" s="109"/>
      <c r="E58" s="109"/>
      <c r="F58" s="109"/>
      <c r="G58" s="109"/>
      <c r="H58" s="109"/>
      <c r="I58" s="109"/>
    </row>
    <row r="59" spans="1:12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12" x14ac:dyDescent="0.2">
      <c r="A60" s="218"/>
      <c r="B60" s="218" t="s">
        <v>0</v>
      </c>
      <c r="C60" s="216" t="s">
        <v>165</v>
      </c>
      <c r="D60" s="218" t="s">
        <v>5</v>
      </c>
      <c r="E60" s="218" t="s">
        <v>6</v>
      </c>
      <c r="F60" s="218" t="s">
        <v>13</v>
      </c>
      <c r="H60" s="109"/>
      <c r="I60" s="109"/>
    </row>
    <row r="61" spans="1:12" ht="165.75" x14ac:dyDescent="0.2">
      <c r="A61" s="138" t="s">
        <v>139</v>
      </c>
      <c r="B61" s="67">
        <v>900</v>
      </c>
      <c r="C61" s="67">
        <v>0.5</v>
      </c>
      <c r="D61" s="67">
        <v>900</v>
      </c>
      <c r="E61" s="67">
        <v>140</v>
      </c>
      <c r="F61" s="67">
        <v>10</v>
      </c>
      <c r="H61" s="109"/>
      <c r="I61" s="109"/>
    </row>
    <row r="62" spans="1:12" x14ac:dyDescent="0.2">
      <c r="A62" s="139"/>
      <c r="B62" s="140"/>
      <c r="C62" s="139"/>
      <c r="D62" s="139"/>
      <c r="E62" s="140"/>
      <c r="F62" s="139"/>
      <c r="G62" s="109"/>
      <c r="H62" s="109"/>
      <c r="I62" s="109"/>
    </row>
    <row r="63" spans="1:12" x14ac:dyDescent="0.2">
      <c r="A63" s="139"/>
      <c r="B63" s="139"/>
      <c r="C63" s="139"/>
      <c r="D63" s="139"/>
      <c r="E63" s="139"/>
      <c r="F63" s="139"/>
      <c r="G63" s="109"/>
      <c r="H63" s="109"/>
      <c r="I63" s="109"/>
    </row>
    <row r="64" spans="1:12" x14ac:dyDescent="0.2">
      <c r="A64" s="258" t="s">
        <v>135</v>
      </c>
      <c r="B64" s="258"/>
      <c r="C64" s="258"/>
      <c r="D64" s="258"/>
      <c r="E64" s="258"/>
      <c r="F64" s="258"/>
      <c r="G64" s="109"/>
      <c r="H64" s="109"/>
      <c r="I64" s="109"/>
    </row>
    <row r="65" spans="1:9" x14ac:dyDescent="0.2">
      <c r="A65" s="251" t="s">
        <v>136</v>
      </c>
      <c r="B65" s="252"/>
      <c r="C65" s="252"/>
      <c r="D65" s="252"/>
      <c r="E65" s="252"/>
      <c r="F65" s="252"/>
      <c r="G65" s="252"/>
      <c r="H65" s="253"/>
      <c r="I65" s="109"/>
    </row>
    <row r="66" spans="1:9" x14ac:dyDescent="0.2">
      <c r="A66" s="219"/>
      <c r="B66" s="218" t="s">
        <v>0</v>
      </c>
      <c r="C66" s="216" t="s">
        <v>165</v>
      </c>
      <c r="D66" s="218" t="s">
        <v>5</v>
      </c>
      <c r="E66" s="218" t="s">
        <v>6</v>
      </c>
      <c r="F66" s="218" t="s">
        <v>13</v>
      </c>
      <c r="G66" s="218" t="s">
        <v>11</v>
      </c>
      <c r="H66" s="216" t="s">
        <v>127</v>
      </c>
    </row>
    <row r="67" spans="1:9" x14ac:dyDescent="0.2">
      <c r="A67" s="141" t="s">
        <v>1</v>
      </c>
      <c r="B67" s="142">
        <f>(B33*$B$61)/1000000</f>
        <v>18.682705080000002</v>
      </c>
      <c r="C67" s="143">
        <f>(C33*$C$61)/1000000</f>
        <v>3.4524E-3</v>
      </c>
      <c r="D67" s="142">
        <f>(D33*$D$61)/1000000</f>
        <v>111.626424</v>
      </c>
      <c r="E67" s="142">
        <f>(E33*$E$61)/1000000</f>
        <v>0.14874216000000001</v>
      </c>
      <c r="F67" s="142">
        <f>(F33*$F$61)/1000000</f>
        <v>0.35830511999999998</v>
      </c>
      <c r="G67" s="142">
        <f>SUM(B67:F67)</f>
        <v>130.81962876000003</v>
      </c>
      <c r="H67" s="88">
        <f>SUM(C67:F67)</f>
        <v>112.13692368</v>
      </c>
    </row>
    <row r="68" spans="1:9" ht="14.25" x14ac:dyDescent="0.2">
      <c r="A68" s="144" t="s">
        <v>24</v>
      </c>
      <c r="B68" s="142">
        <f t="shared" ref="B68:B73" si="17">(B34*$B$61)/1000000</f>
        <v>1.3590795600000001</v>
      </c>
      <c r="C68" s="108"/>
      <c r="D68" s="142">
        <f t="shared" ref="D68" si="18">(D34*$D$61)/1000000</f>
        <v>1.8318635999999999</v>
      </c>
      <c r="E68" s="142">
        <f>(E34*$E$61)/1000000</f>
        <v>0.44666244840000008</v>
      </c>
      <c r="F68" s="142">
        <f>(F34*$F$61)/1000000</f>
        <v>2.5920000000000006E-3</v>
      </c>
      <c r="G68" s="145">
        <f>SUM(B68:F68)</f>
        <v>3.6401976083999998</v>
      </c>
      <c r="H68" s="109"/>
    </row>
    <row r="69" spans="1:9" ht="14.25" x14ac:dyDescent="0.2">
      <c r="A69" s="141" t="s">
        <v>2</v>
      </c>
      <c r="B69" s="142">
        <f t="shared" si="17"/>
        <v>1.5063731999999999</v>
      </c>
      <c r="C69" s="108"/>
      <c r="D69" s="108"/>
      <c r="E69" s="108"/>
      <c r="F69" s="108"/>
      <c r="G69" s="142">
        <f>SUM(B69:F69)</f>
        <v>1.5063731999999999</v>
      </c>
      <c r="H69" s="109"/>
    </row>
    <row r="70" spans="1:9" ht="14.25" x14ac:dyDescent="0.2">
      <c r="A70" s="141" t="s">
        <v>3</v>
      </c>
      <c r="B70" s="142">
        <f>(B36*$B$61)/1000000</f>
        <v>11.71927764</v>
      </c>
      <c r="C70" s="143">
        <f>(C36*$C$61)/1000000</f>
        <v>1.2186000000000002E-3</v>
      </c>
      <c r="D70" s="142">
        <f>(D36*$D$61)/1000000</f>
        <v>39.220523999999997</v>
      </c>
      <c r="E70" s="108"/>
      <c r="F70" s="142">
        <f>(F36*$F$61)/1000000</f>
        <v>0.12324096000000002</v>
      </c>
      <c r="G70" s="142">
        <f>SUM(B70:F70)</f>
        <v>51.064261199999997</v>
      </c>
      <c r="H70" s="109"/>
    </row>
    <row r="71" spans="1:9" ht="14.25" x14ac:dyDescent="0.2">
      <c r="A71" s="141" t="s">
        <v>4</v>
      </c>
      <c r="B71" s="108"/>
      <c r="C71" s="108"/>
      <c r="D71" s="108"/>
      <c r="E71" s="108"/>
      <c r="F71" s="108"/>
      <c r="G71" s="146"/>
      <c r="H71" s="109"/>
    </row>
    <row r="72" spans="1:9" ht="14.25" x14ac:dyDescent="0.2">
      <c r="A72" s="147" t="s">
        <v>19</v>
      </c>
      <c r="B72" s="108"/>
      <c r="C72" s="108"/>
      <c r="D72" s="108"/>
      <c r="E72" s="108"/>
      <c r="F72" s="108"/>
      <c r="G72" s="146"/>
      <c r="H72" s="109"/>
    </row>
    <row r="73" spans="1:9" ht="14.25" x14ac:dyDescent="0.2">
      <c r="A73" s="110" t="s">
        <v>163</v>
      </c>
      <c r="B73" s="142">
        <f t="shared" si="17"/>
        <v>62.815483800000003</v>
      </c>
      <c r="C73" s="108"/>
      <c r="D73" s="108"/>
      <c r="E73" s="108"/>
      <c r="F73" s="108"/>
      <c r="G73" s="146"/>
      <c r="H73" s="109"/>
    </row>
    <row r="74" spans="1:9" x14ac:dyDescent="0.2">
      <c r="A74" s="148" t="s">
        <v>10</v>
      </c>
      <c r="B74" s="149">
        <f>SUM(B67:B73)</f>
        <v>96.082919279999999</v>
      </c>
      <c r="C74" s="149">
        <f t="shared" ref="C74:F74" si="19">SUM(C67:C73)</f>
        <v>4.6709999999999998E-3</v>
      </c>
      <c r="D74" s="149">
        <f t="shared" si="19"/>
        <v>152.67881160000002</v>
      </c>
      <c r="E74" s="149">
        <f t="shared" si="19"/>
        <v>0.59540460840000009</v>
      </c>
      <c r="F74" s="149">
        <f t="shared" si="19"/>
        <v>0.48413807999999997</v>
      </c>
      <c r="G74" s="149">
        <f>SUM(G67:G73)</f>
        <v>187.03046076840005</v>
      </c>
      <c r="H74" s="109"/>
    </row>
    <row r="75" spans="1:9" x14ac:dyDescent="0.2">
      <c r="A75" s="150"/>
      <c r="B75" s="36"/>
      <c r="C75" s="36"/>
      <c r="D75" s="151"/>
      <c r="E75" s="151"/>
      <c r="F75" s="151"/>
      <c r="G75" s="151"/>
      <c r="H75" s="109"/>
    </row>
    <row r="76" spans="1:9" x14ac:dyDescent="0.2">
      <c r="A76" s="109"/>
      <c r="B76" s="109"/>
      <c r="C76" s="109"/>
      <c r="D76" s="109"/>
      <c r="E76" s="109"/>
      <c r="F76" s="109"/>
      <c r="G76" s="109"/>
      <c r="H76" s="109"/>
      <c r="I76" s="109"/>
    </row>
    <row r="77" spans="1:9" x14ac:dyDescent="0.2">
      <c r="A77" s="109"/>
      <c r="B77" s="109"/>
      <c r="C77" s="109"/>
      <c r="D77" s="109"/>
      <c r="E77" s="109"/>
      <c r="F77" s="109"/>
      <c r="G77" s="109"/>
      <c r="H77" s="109"/>
      <c r="I77" s="109"/>
    </row>
    <row r="78" spans="1:9" x14ac:dyDescent="0.2">
      <c r="A78" s="218"/>
      <c r="B78" s="218" t="s">
        <v>0</v>
      </c>
      <c r="C78" s="216" t="s">
        <v>165</v>
      </c>
      <c r="D78" s="218" t="s">
        <v>5</v>
      </c>
      <c r="E78" s="218" t="s">
        <v>6</v>
      </c>
      <c r="F78" s="218" t="s">
        <v>13</v>
      </c>
      <c r="H78" s="109"/>
      <c r="I78" s="109"/>
    </row>
    <row r="79" spans="1:9" ht="178.5" x14ac:dyDescent="0.2">
      <c r="A79" s="152" t="s">
        <v>140</v>
      </c>
      <c r="B79" s="67">
        <v>130</v>
      </c>
      <c r="C79" s="67">
        <v>50</v>
      </c>
      <c r="D79" s="67">
        <v>130</v>
      </c>
      <c r="E79" s="67">
        <v>70</v>
      </c>
      <c r="F79" s="67">
        <v>50</v>
      </c>
      <c r="H79" s="109"/>
      <c r="I79" s="109"/>
    </row>
    <row r="80" spans="1:9" x14ac:dyDescent="0.2">
      <c r="A80" s="139"/>
      <c r="B80" s="140"/>
      <c r="C80" s="139"/>
      <c r="D80" s="139"/>
      <c r="E80" s="140"/>
      <c r="F80" s="139"/>
      <c r="G80" s="109"/>
      <c r="H80" s="109"/>
      <c r="I80" s="109"/>
    </row>
    <row r="81" spans="1:9" x14ac:dyDescent="0.2">
      <c r="A81" s="139"/>
      <c r="B81" s="139"/>
      <c r="C81" s="139"/>
      <c r="D81" s="139"/>
      <c r="E81" s="139"/>
      <c r="F81" s="139"/>
      <c r="G81" s="109"/>
      <c r="H81" s="109"/>
      <c r="I81" s="109"/>
    </row>
    <row r="82" spans="1:9" x14ac:dyDescent="0.2">
      <c r="A82" s="257" t="s">
        <v>137</v>
      </c>
      <c r="B82" s="257"/>
      <c r="C82" s="257"/>
      <c r="D82" s="257"/>
      <c r="E82" s="257"/>
      <c r="F82" s="257"/>
      <c r="G82" s="109"/>
      <c r="H82" s="109"/>
      <c r="I82" s="109"/>
    </row>
    <row r="83" spans="1:9" x14ac:dyDescent="0.2">
      <c r="A83" s="246" t="s">
        <v>138</v>
      </c>
      <c r="B83" s="247"/>
      <c r="C83" s="247"/>
      <c r="D83" s="247"/>
      <c r="E83" s="247"/>
      <c r="F83" s="247"/>
      <c r="G83" s="247"/>
      <c r="H83" s="248"/>
      <c r="I83" s="109"/>
    </row>
    <row r="84" spans="1:9" x14ac:dyDescent="0.2">
      <c r="A84" s="216"/>
      <c r="B84" s="216" t="s">
        <v>0</v>
      </c>
      <c r="C84" s="216" t="s">
        <v>165</v>
      </c>
      <c r="D84" s="216" t="s">
        <v>5</v>
      </c>
      <c r="E84" s="216" t="s">
        <v>6</v>
      </c>
      <c r="F84" s="216" t="s">
        <v>13</v>
      </c>
      <c r="G84" s="216" t="s">
        <v>11</v>
      </c>
      <c r="H84" s="216" t="s">
        <v>127</v>
      </c>
    </row>
    <row r="85" spans="1:9" x14ac:dyDescent="0.2">
      <c r="A85" s="86" t="s">
        <v>1</v>
      </c>
      <c r="B85" s="88">
        <f>(B33*$B$79)/1000000</f>
        <v>2.6986129560000003</v>
      </c>
      <c r="C85" s="153">
        <f>(C33*$C$79)/1000000</f>
        <v>0.34523999999999999</v>
      </c>
      <c r="D85" s="88">
        <f>(D33*$D$79)/1000000</f>
        <v>16.1238168</v>
      </c>
      <c r="E85" s="88">
        <f>(E33*$E$79)/1000000</f>
        <v>7.4371080000000006E-2</v>
      </c>
      <c r="F85" s="88">
        <f>(F33*$F$79)/1000000</f>
        <v>1.7915256000000002</v>
      </c>
      <c r="G85" s="88">
        <v>7.6663589200079993</v>
      </c>
      <c r="H85" s="88">
        <f>SUM(C85:F85)</f>
        <v>18.334953479999999</v>
      </c>
    </row>
    <row r="86" spans="1:9" ht="14.25" x14ac:dyDescent="0.2">
      <c r="A86" s="144" t="s">
        <v>24</v>
      </c>
      <c r="B86" s="88">
        <f t="shared" ref="B86:B91" si="20">(B34*$B$79)/1000000</f>
        <v>0.196311492</v>
      </c>
      <c r="C86" s="108"/>
      <c r="D86" s="88">
        <f t="shared" ref="D86:D88" si="21">(D34*$D$79)/1000000</f>
        <v>0.26460251999999995</v>
      </c>
      <c r="E86" s="88">
        <f t="shared" ref="E86" si="22">(E34*$E$79)/1000000</f>
        <v>0.22333122420000004</v>
      </c>
      <c r="F86" s="88">
        <f>(F34*$F$79)/1000000</f>
        <v>1.2960000000000001E-2</v>
      </c>
      <c r="G86" s="145">
        <v>0.41223980280000005</v>
      </c>
      <c r="H86" s="109"/>
    </row>
    <row r="87" spans="1:9" ht="14.25" x14ac:dyDescent="0.2">
      <c r="A87" s="141" t="s">
        <v>2</v>
      </c>
      <c r="B87" s="88">
        <f t="shared" si="20"/>
        <v>0.21758724000000002</v>
      </c>
      <c r="C87" s="108"/>
      <c r="D87" s="108"/>
      <c r="E87" s="108"/>
      <c r="F87" s="108"/>
      <c r="G87" s="142">
        <v>7.0875417600000004E-2</v>
      </c>
      <c r="H87" s="109"/>
    </row>
    <row r="88" spans="1:9" ht="14.25" x14ac:dyDescent="0.2">
      <c r="A88" s="141" t="s">
        <v>3</v>
      </c>
      <c r="B88" s="88">
        <f t="shared" si="20"/>
        <v>1.6927845479999999</v>
      </c>
      <c r="C88" s="153">
        <f t="shared" ref="C88" si="23">(C36*$C$79)/1000000</f>
        <v>0.12186000000000001</v>
      </c>
      <c r="D88" s="88">
        <f t="shared" si="21"/>
        <v>5.6651867999999999</v>
      </c>
      <c r="E88" s="108"/>
      <c r="F88" s="88">
        <f t="shared" ref="F88" si="24">(F36*$F$79)/1000000</f>
        <v>0.6162048</v>
      </c>
      <c r="G88" s="142">
        <v>2.6845668259919999</v>
      </c>
      <c r="H88" s="109"/>
    </row>
    <row r="89" spans="1:9" ht="14.25" x14ac:dyDescent="0.2">
      <c r="A89" s="141" t="s">
        <v>4</v>
      </c>
      <c r="B89" s="108"/>
      <c r="C89" s="108"/>
      <c r="D89" s="108"/>
      <c r="E89" s="108"/>
      <c r="F89" s="108"/>
      <c r="G89" s="36"/>
      <c r="H89" s="109"/>
    </row>
    <row r="90" spans="1:9" ht="14.25" x14ac:dyDescent="0.2">
      <c r="A90" s="147" t="s">
        <v>19</v>
      </c>
      <c r="B90" s="108"/>
      <c r="C90" s="108"/>
      <c r="D90" s="108"/>
      <c r="E90" s="108"/>
      <c r="F90" s="108"/>
      <c r="G90" s="36"/>
      <c r="H90" s="109"/>
    </row>
    <row r="91" spans="1:9" ht="14.25" x14ac:dyDescent="0.2">
      <c r="A91" s="110" t="s">
        <v>163</v>
      </c>
      <c r="B91" s="88">
        <f t="shared" si="20"/>
        <v>9.0733476599999996</v>
      </c>
      <c r="C91" s="108"/>
      <c r="D91" s="108"/>
      <c r="E91" s="108"/>
      <c r="F91" s="108"/>
      <c r="G91" s="36"/>
      <c r="H91" s="109"/>
    </row>
    <row r="92" spans="1:9" x14ac:dyDescent="0.2">
      <c r="A92" s="148" t="s">
        <v>10</v>
      </c>
      <c r="B92" s="149">
        <f t="shared" ref="B92:G92" si="25">SUM(B85:B91)</f>
        <v>13.878643896</v>
      </c>
      <c r="C92" s="149">
        <f t="shared" si="25"/>
        <v>0.46710000000000002</v>
      </c>
      <c r="D92" s="149">
        <f t="shared" si="25"/>
        <v>22.053606120000001</v>
      </c>
      <c r="E92" s="149">
        <f t="shared" si="25"/>
        <v>0.29770230420000005</v>
      </c>
      <c r="F92" s="149">
        <f t="shared" si="25"/>
        <v>2.4206904000000002</v>
      </c>
      <c r="G92" s="149">
        <f t="shared" si="25"/>
        <v>10.8340409664</v>
      </c>
      <c r="H92" s="109"/>
    </row>
    <row r="93" spans="1:9" x14ac:dyDescent="0.2">
      <c r="A93" s="150"/>
      <c r="B93" s="36"/>
      <c r="C93" s="36"/>
      <c r="D93" s="151"/>
      <c r="E93" s="151"/>
      <c r="F93" s="151"/>
      <c r="G93" s="151"/>
      <c r="H93" s="109"/>
    </row>
    <row r="94" spans="1:9" x14ac:dyDescent="0.2">
      <c r="A94" s="109"/>
      <c r="B94" s="109"/>
      <c r="C94" s="109"/>
      <c r="D94" s="109"/>
      <c r="E94" s="109"/>
      <c r="F94" s="109"/>
      <c r="G94" s="109"/>
      <c r="H94" s="109"/>
      <c r="I94" s="109"/>
    </row>
    <row r="95" spans="1:9" x14ac:dyDescent="0.2">
      <c r="A95" s="109"/>
      <c r="B95" s="109"/>
      <c r="C95" s="109"/>
      <c r="D95" s="109"/>
      <c r="E95" s="109"/>
      <c r="F95" s="109"/>
      <c r="G95" s="109"/>
      <c r="H95" s="109"/>
      <c r="I95" s="109"/>
    </row>
    <row r="96" spans="1:9" x14ac:dyDescent="0.2">
      <c r="A96" s="216"/>
      <c r="B96" s="216" t="s">
        <v>0</v>
      </c>
      <c r="C96" s="216" t="s">
        <v>165</v>
      </c>
      <c r="D96" s="216" t="s">
        <v>5</v>
      </c>
      <c r="E96" s="216" t="s">
        <v>6</v>
      </c>
      <c r="F96" s="216" t="s">
        <v>13</v>
      </c>
      <c r="H96" s="154"/>
      <c r="I96" s="154"/>
    </row>
    <row r="97" spans="1:9" ht="194.25" customHeight="1" x14ac:dyDescent="0.2">
      <c r="A97" s="155" t="s">
        <v>130</v>
      </c>
      <c r="B97" s="67">
        <v>380</v>
      </c>
      <c r="C97" s="67">
        <v>0.5</v>
      </c>
      <c r="D97" s="67">
        <v>380</v>
      </c>
      <c r="E97" s="67">
        <v>3</v>
      </c>
      <c r="F97" s="67">
        <v>810</v>
      </c>
      <c r="H97" s="154"/>
      <c r="I97" s="154"/>
    </row>
    <row r="98" spans="1:9" x14ac:dyDescent="0.2">
      <c r="A98" s="109"/>
      <c r="B98" s="134"/>
      <c r="C98" s="109"/>
      <c r="D98" s="109"/>
      <c r="E98" s="134"/>
      <c r="F98" s="109"/>
      <c r="G98" s="115"/>
      <c r="H98" s="154"/>
      <c r="I98" s="154"/>
    </row>
    <row r="99" spans="1:9" x14ac:dyDescent="0.2">
      <c r="A99" s="109"/>
      <c r="B99" s="109"/>
      <c r="C99" s="109"/>
      <c r="D99" s="109"/>
      <c r="E99" s="109"/>
      <c r="F99" s="109"/>
      <c r="G99" s="115"/>
      <c r="H99" s="154"/>
      <c r="I99" s="154"/>
    </row>
    <row r="100" spans="1:9" x14ac:dyDescent="0.2">
      <c r="A100" s="256" t="s">
        <v>58</v>
      </c>
      <c r="B100" s="256"/>
      <c r="C100" s="256"/>
      <c r="D100" s="256"/>
      <c r="E100" s="256"/>
      <c r="F100" s="256"/>
      <c r="G100" s="256"/>
      <c r="H100" s="154"/>
      <c r="I100" s="154"/>
    </row>
    <row r="101" spans="1:9" x14ac:dyDescent="0.2">
      <c r="A101" s="246" t="s">
        <v>50</v>
      </c>
      <c r="B101" s="247"/>
      <c r="C101" s="247"/>
      <c r="D101" s="247"/>
      <c r="E101" s="247"/>
      <c r="F101" s="247"/>
      <c r="G101" s="247"/>
      <c r="H101" s="248"/>
      <c r="I101" s="154"/>
    </row>
    <row r="102" spans="1:9" x14ac:dyDescent="0.2">
      <c r="A102" s="216"/>
      <c r="B102" s="216" t="s">
        <v>0</v>
      </c>
      <c r="C102" s="216" t="s">
        <v>165</v>
      </c>
      <c r="D102" s="216" t="s">
        <v>5</v>
      </c>
      <c r="E102" s="216" t="s">
        <v>6</v>
      </c>
      <c r="F102" s="216" t="s">
        <v>13</v>
      </c>
      <c r="G102" s="216" t="s">
        <v>11</v>
      </c>
      <c r="H102" s="216" t="s">
        <v>127</v>
      </c>
    </row>
    <row r="103" spans="1:9" x14ac:dyDescent="0.2">
      <c r="A103" s="179" t="s">
        <v>1</v>
      </c>
      <c r="B103" s="88">
        <f>(B33*$B$97)/1000000</f>
        <v>7.8882532560000005</v>
      </c>
      <c r="C103" s="156">
        <f>(C33*$C$97)/1000000</f>
        <v>3.4524E-3</v>
      </c>
      <c r="D103" s="88">
        <f>(D33*$D$97)/1000000</f>
        <v>47.131156799999999</v>
      </c>
      <c r="E103" s="88">
        <f>(E33*$E$97)/1000000</f>
        <v>3.1873319999999998E-3</v>
      </c>
      <c r="F103" s="88">
        <f>(F33*$F$97)/1000000</f>
        <v>29.022714720000003</v>
      </c>
      <c r="G103" s="88">
        <f>SUM(B103:F103)</f>
        <v>84.048764508000005</v>
      </c>
      <c r="H103" s="10">
        <f>SUM(C103:F103)</f>
        <v>76.160511252000006</v>
      </c>
    </row>
    <row r="104" spans="1:9" ht="14.25" x14ac:dyDescent="0.2">
      <c r="A104" s="121" t="s">
        <v>24</v>
      </c>
      <c r="B104" s="88">
        <f t="shared" ref="B104:B109" si="26">(B34*$B$97)/1000000</f>
        <v>0.57383359200000006</v>
      </c>
      <c r="C104" s="108"/>
      <c r="D104" s="88">
        <f t="shared" ref="D104" si="27">(D34*$D$97)/1000000</f>
        <v>0.77345351999999989</v>
      </c>
      <c r="E104" s="88">
        <f>(E34*$E$97)/1000000</f>
        <v>9.5713381800000014E-3</v>
      </c>
      <c r="F104" s="88">
        <f t="shared" ref="F104" si="28">(F34*$F$97)/1000000</f>
        <v>0.20995200000000003</v>
      </c>
      <c r="G104" s="157">
        <f>SUM(B104:F104)</f>
        <v>1.5668104501800002</v>
      </c>
      <c r="H104" s="120"/>
    </row>
    <row r="105" spans="1:9" ht="14.25" x14ac:dyDescent="0.2">
      <c r="A105" s="103" t="s">
        <v>2</v>
      </c>
      <c r="B105" s="88">
        <f>(B35*$B$97)/1000000</f>
        <v>0.63602424000000002</v>
      </c>
      <c r="C105" s="108"/>
      <c r="D105" s="108"/>
      <c r="E105" s="108"/>
      <c r="F105" s="108"/>
      <c r="G105" s="88">
        <f>SUM(B105:F105)</f>
        <v>0.63602424000000002</v>
      </c>
      <c r="H105" s="120"/>
    </row>
    <row r="106" spans="1:9" ht="14.25" x14ac:dyDescent="0.2">
      <c r="A106" s="103" t="s">
        <v>3</v>
      </c>
      <c r="B106" s="88">
        <f t="shared" si="26"/>
        <v>4.9481394480000001</v>
      </c>
      <c r="C106" s="156">
        <f t="shared" ref="C106" si="29">(C36*$C$97)/1000000</f>
        <v>1.2186000000000002E-3</v>
      </c>
      <c r="D106" s="88">
        <f>(D36*$D$97)/1000000</f>
        <v>16.559776800000002</v>
      </c>
      <c r="E106" s="108"/>
      <c r="F106" s="88">
        <f>(F36*$F$97)/1000000</f>
        <v>9.9825177600000021</v>
      </c>
      <c r="G106" s="88">
        <f>SUM(B106:F106)</f>
        <v>31.491652608000003</v>
      </c>
      <c r="H106" s="120"/>
    </row>
    <row r="107" spans="1:9" ht="14.25" x14ac:dyDescent="0.2">
      <c r="A107" s="103" t="s">
        <v>4</v>
      </c>
      <c r="B107" s="108"/>
      <c r="C107" s="108"/>
      <c r="D107" s="108"/>
      <c r="E107" s="108"/>
      <c r="F107" s="108"/>
      <c r="G107" s="49"/>
      <c r="H107" s="120"/>
    </row>
    <row r="108" spans="1:9" ht="14.25" x14ac:dyDescent="0.2">
      <c r="A108" s="110" t="s">
        <v>19</v>
      </c>
      <c r="B108" s="108"/>
      <c r="C108" s="108"/>
      <c r="D108" s="108"/>
      <c r="E108" s="108"/>
      <c r="F108" s="108"/>
      <c r="G108" s="49"/>
      <c r="H108" s="120"/>
    </row>
    <row r="109" spans="1:9" ht="14.25" x14ac:dyDescent="0.2">
      <c r="A109" s="110" t="s">
        <v>163</v>
      </c>
      <c r="B109" s="88">
        <f t="shared" si="26"/>
        <v>26.522093160000001</v>
      </c>
      <c r="C109" s="108"/>
      <c r="D109" s="108"/>
      <c r="E109" s="108"/>
      <c r="F109" s="108"/>
      <c r="G109" s="49"/>
      <c r="H109" s="120"/>
    </row>
    <row r="110" spans="1:9" x14ac:dyDescent="0.2">
      <c r="A110" s="111" t="s">
        <v>10</v>
      </c>
      <c r="B110" s="98">
        <f>SUM(B103:B109)</f>
        <v>40.568343695999999</v>
      </c>
      <c r="C110" s="98">
        <f>SUM(C103:C109)</f>
        <v>4.6709999999999998E-3</v>
      </c>
      <c r="D110" s="98">
        <f t="shared" ref="D110:F110" si="30">SUM(D103:D109)</f>
        <v>64.464387119999998</v>
      </c>
      <c r="E110" s="98">
        <f t="shared" si="30"/>
        <v>1.2758670180000001E-2</v>
      </c>
      <c r="F110" s="98">
        <f t="shared" si="30"/>
        <v>39.215184480000005</v>
      </c>
      <c r="G110" s="98">
        <f>SUM(G103:G109)</f>
        <v>117.74325180618001</v>
      </c>
      <c r="H110" s="120"/>
    </row>
    <row r="111" spans="1:9" x14ac:dyDescent="0.2">
      <c r="A111" s="113"/>
      <c r="B111" s="49"/>
      <c r="C111" s="49"/>
      <c r="D111" s="127"/>
      <c r="E111" s="127"/>
      <c r="F111" s="127"/>
      <c r="G111" s="127"/>
      <c r="H111" s="120"/>
    </row>
    <row r="112" spans="1:9" x14ac:dyDescent="0.2">
      <c r="A112" s="154"/>
      <c r="B112" s="154"/>
      <c r="C112" s="154"/>
      <c r="D112" s="154"/>
      <c r="E112" s="154"/>
      <c r="F112" s="154"/>
      <c r="G112" s="120"/>
      <c r="H112" s="154"/>
      <c r="I112" s="154"/>
    </row>
    <row r="113" spans="1:9" x14ac:dyDescent="0.2">
      <c r="A113" s="154"/>
      <c r="B113" s="154"/>
      <c r="C113" s="154"/>
      <c r="D113" s="154"/>
      <c r="E113" s="154"/>
      <c r="F113" s="154"/>
      <c r="G113" s="120"/>
      <c r="H113" s="154"/>
      <c r="I113" s="154"/>
    </row>
    <row r="114" spans="1:9" x14ac:dyDescent="0.2">
      <c r="A114" s="216"/>
      <c r="B114" s="216" t="s">
        <v>0</v>
      </c>
      <c r="C114" s="216" t="s">
        <v>165</v>
      </c>
      <c r="D114" s="216" t="s">
        <v>5</v>
      </c>
      <c r="E114" s="216" t="s">
        <v>6</v>
      </c>
      <c r="F114" s="216" t="s">
        <v>13</v>
      </c>
      <c r="H114" s="154"/>
      <c r="I114" s="154"/>
    </row>
    <row r="115" spans="1:9" ht="198.75" customHeight="1" x14ac:dyDescent="0.2">
      <c r="A115" s="155" t="s">
        <v>131</v>
      </c>
      <c r="B115" s="67">
        <v>360</v>
      </c>
      <c r="C115" s="67">
        <v>0.5</v>
      </c>
      <c r="D115" s="67">
        <v>360</v>
      </c>
      <c r="E115" s="67">
        <v>3</v>
      </c>
      <c r="F115" s="67">
        <v>810</v>
      </c>
      <c r="H115" s="154"/>
      <c r="I115" s="154"/>
    </row>
    <row r="116" spans="1:9" x14ac:dyDescent="0.2">
      <c r="A116" s="109"/>
      <c r="B116" s="134"/>
      <c r="C116" s="109"/>
      <c r="D116" s="109"/>
      <c r="E116" s="134"/>
      <c r="F116" s="109"/>
      <c r="G116" s="115"/>
      <c r="H116" s="154"/>
      <c r="I116" s="154"/>
    </row>
    <row r="117" spans="1:9" x14ac:dyDescent="0.2">
      <c r="A117" s="109"/>
      <c r="B117" s="109"/>
      <c r="C117" s="109"/>
      <c r="D117" s="109"/>
      <c r="E117" s="109"/>
      <c r="F117" s="109"/>
      <c r="G117" s="115"/>
      <c r="H117" s="154"/>
      <c r="I117" s="154"/>
    </row>
    <row r="118" spans="1:9" x14ac:dyDescent="0.2">
      <c r="A118" s="256" t="s">
        <v>59</v>
      </c>
      <c r="B118" s="256"/>
      <c r="C118" s="256"/>
      <c r="D118" s="256"/>
      <c r="E118" s="256"/>
      <c r="F118" s="256"/>
      <c r="G118" s="256"/>
      <c r="H118" s="154"/>
      <c r="I118" s="154"/>
    </row>
    <row r="119" spans="1:9" x14ac:dyDescent="0.2">
      <c r="A119" s="246" t="s">
        <v>49</v>
      </c>
      <c r="B119" s="247"/>
      <c r="C119" s="247"/>
      <c r="D119" s="247"/>
      <c r="E119" s="247"/>
      <c r="F119" s="247"/>
      <c r="G119" s="247"/>
      <c r="H119" s="248"/>
      <c r="I119" s="154"/>
    </row>
    <row r="120" spans="1:9" x14ac:dyDescent="0.2">
      <c r="A120" s="216"/>
      <c r="B120" s="216" t="s">
        <v>0</v>
      </c>
      <c r="C120" s="216" t="s">
        <v>165</v>
      </c>
      <c r="D120" s="216" t="s">
        <v>5</v>
      </c>
      <c r="E120" s="216" t="s">
        <v>6</v>
      </c>
      <c r="F120" s="216" t="s">
        <v>13</v>
      </c>
      <c r="G120" s="216" t="s">
        <v>11</v>
      </c>
      <c r="H120" s="216" t="s">
        <v>127</v>
      </c>
    </row>
    <row r="121" spans="1:9" x14ac:dyDescent="0.2">
      <c r="A121" s="179" t="s">
        <v>1</v>
      </c>
      <c r="B121" s="88">
        <f>(B33*$B$115)/1000000</f>
        <v>7.4730820319999998</v>
      </c>
      <c r="C121" s="156">
        <f>(C33*$C$115)/1000000</f>
        <v>3.4524E-3</v>
      </c>
      <c r="D121" s="88">
        <f>(D33*$D$115)/1000000</f>
        <v>44.650569600000004</v>
      </c>
      <c r="E121" s="88">
        <f>(E33*$E$115)/1000000</f>
        <v>3.1873319999999998E-3</v>
      </c>
      <c r="F121" s="88">
        <f>(F33*$F$115)/1000000</f>
        <v>29.022714720000003</v>
      </c>
      <c r="G121" s="88">
        <f>SUM(B121:F121)</f>
        <v>81.153006084000012</v>
      </c>
      <c r="H121" s="10">
        <f>SUM(C121:F121)</f>
        <v>73.679924052000018</v>
      </c>
    </row>
    <row r="122" spans="1:9" ht="14.25" x14ac:dyDescent="0.2">
      <c r="A122" s="121" t="s">
        <v>24</v>
      </c>
      <c r="B122" s="88">
        <f t="shared" ref="B122:B124" si="31">(B34*$B$115)/1000000</f>
        <v>0.54363182399999999</v>
      </c>
      <c r="C122" s="108"/>
      <c r="D122" s="88">
        <f t="shared" ref="D122:D124" si="32">(D34*$D$115)/1000000</f>
        <v>0.73274543999999997</v>
      </c>
      <c r="E122" s="88">
        <f t="shared" ref="E122" si="33">(E34*$E$115)/1000000</f>
        <v>9.5713381800000014E-3</v>
      </c>
      <c r="F122" s="88">
        <f t="shared" ref="F122:F124" si="34">(F34*$F$115)/1000000</f>
        <v>0.20995200000000003</v>
      </c>
      <c r="G122" s="157">
        <f>SUM(B122:F122)</f>
        <v>1.4959006021799999</v>
      </c>
      <c r="H122" s="120"/>
    </row>
    <row r="123" spans="1:9" ht="14.25" x14ac:dyDescent="0.2">
      <c r="A123" s="103" t="s">
        <v>2</v>
      </c>
      <c r="B123" s="88">
        <f t="shared" si="31"/>
        <v>0.60254928000000008</v>
      </c>
      <c r="C123" s="108"/>
      <c r="D123" s="108"/>
      <c r="E123" s="108"/>
      <c r="F123" s="108"/>
      <c r="G123" s="88">
        <f>SUM(B123:F123)</f>
        <v>0.60254928000000008</v>
      </c>
      <c r="H123" s="120"/>
    </row>
    <row r="124" spans="1:9" ht="14.25" x14ac:dyDescent="0.2">
      <c r="A124" s="103" t="s">
        <v>3</v>
      </c>
      <c r="B124" s="88">
        <f t="shared" si="31"/>
        <v>4.6877110559999995</v>
      </c>
      <c r="C124" s="156">
        <f>(C36*$C$115)/1000000</f>
        <v>1.2186000000000002E-3</v>
      </c>
      <c r="D124" s="88">
        <f t="shared" si="32"/>
        <v>15.6882096</v>
      </c>
      <c r="E124" s="108"/>
      <c r="F124" s="88">
        <f t="shared" si="34"/>
        <v>9.9825177600000021</v>
      </c>
      <c r="G124" s="88">
        <f>SUM(B124:F124)</f>
        <v>30.359657016</v>
      </c>
      <c r="H124" s="120"/>
    </row>
    <row r="125" spans="1:9" ht="14.25" x14ac:dyDescent="0.2">
      <c r="A125" s="103" t="s">
        <v>4</v>
      </c>
      <c r="B125" s="108"/>
      <c r="C125" s="108"/>
      <c r="D125" s="108"/>
      <c r="E125" s="108"/>
      <c r="F125" s="108"/>
      <c r="G125" s="49"/>
      <c r="H125" s="120"/>
    </row>
    <row r="126" spans="1:9" ht="14.25" x14ac:dyDescent="0.2">
      <c r="A126" s="110" t="s">
        <v>19</v>
      </c>
      <c r="B126" s="108"/>
      <c r="C126" s="108"/>
      <c r="D126" s="108"/>
      <c r="E126" s="108"/>
      <c r="F126" s="108"/>
      <c r="G126" s="49"/>
      <c r="H126" s="120"/>
    </row>
    <row r="127" spans="1:9" ht="14.25" x14ac:dyDescent="0.2">
      <c r="A127" s="110" t="s">
        <v>163</v>
      </c>
      <c r="B127" s="88">
        <f>(B39*$B$115)/1000000</f>
        <v>25.126193520000001</v>
      </c>
      <c r="C127" s="108"/>
      <c r="D127" s="108"/>
      <c r="E127" s="108"/>
      <c r="F127" s="108"/>
      <c r="G127" s="49"/>
      <c r="H127" s="120"/>
    </row>
    <row r="128" spans="1:9" x14ac:dyDescent="0.2">
      <c r="A128" s="111" t="s">
        <v>10</v>
      </c>
      <c r="B128" s="98">
        <f>SUM(B121:B127)</f>
        <v>38.433167711999999</v>
      </c>
      <c r="C128" s="98">
        <f t="shared" ref="C128:F128" si="35">SUM(C121:C127)</f>
        <v>4.6709999999999998E-3</v>
      </c>
      <c r="D128" s="98">
        <f>SUM(D121:D127)</f>
        <v>61.071524640000007</v>
      </c>
      <c r="E128" s="98">
        <f t="shared" si="35"/>
        <v>1.2758670180000001E-2</v>
      </c>
      <c r="F128" s="98">
        <f t="shared" si="35"/>
        <v>39.215184480000005</v>
      </c>
      <c r="G128" s="98">
        <f>SUM(G121:G127)</f>
        <v>113.61111298218002</v>
      </c>
      <c r="H128" s="154"/>
    </row>
    <row r="129" spans="1:9" x14ac:dyDescent="0.2">
      <c r="A129" s="113"/>
      <c r="B129" s="49"/>
      <c r="C129" s="49"/>
      <c r="D129" s="127"/>
      <c r="E129" s="127"/>
      <c r="F129" s="127"/>
      <c r="G129" s="127"/>
      <c r="H129" s="154"/>
    </row>
    <row r="130" spans="1:9" x14ac:dyDescent="0.2">
      <c r="A130" s="154"/>
      <c r="B130" s="154"/>
      <c r="C130" s="154"/>
      <c r="D130" s="154"/>
      <c r="E130" s="154"/>
      <c r="F130" s="154"/>
      <c r="G130" s="154"/>
      <c r="H130" s="154"/>
      <c r="I130" s="154"/>
    </row>
    <row r="131" spans="1:9" x14ac:dyDescent="0.2">
      <c r="A131" s="154"/>
      <c r="B131" s="154"/>
      <c r="C131" s="154"/>
      <c r="D131" s="154"/>
      <c r="E131" s="154"/>
      <c r="F131" s="154"/>
      <c r="G131" s="154"/>
      <c r="H131" s="154"/>
      <c r="I131" s="154"/>
    </row>
    <row r="132" spans="1:9" x14ac:dyDescent="0.2">
      <c r="A132" s="216"/>
      <c r="B132" s="216" t="s">
        <v>0</v>
      </c>
      <c r="C132" s="216" t="s">
        <v>165</v>
      </c>
      <c r="D132" s="216" t="s">
        <v>5</v>
      </c>
      <c r="E132" s="216" t="s">
        <v>6</v>
      </c>
      <c r="F132" s="216" t="s">
        <v>13</v>
      </c>
      <c r="H132" s="154"/>
      <c r="I132" s="154"/>
    </row>
    <row r="133" spans="1:9" ht="189.75" customHeight="1" x14ac:dyDescent="0.2">
      <c r="A133" s="158" t="s">
        <v>132</v>
      </c>
      <c r="B133" s="168">
        <v>270</v>
      </c>
      <c r="C133" s="167">
        <v>0</v>
      </c>
      <c r="D133" s="168">
        <v>270</v>
      </c>
      <c r="E133" s="168">
        <v>10</v>
      </c>
      <c r="F133" s="167">
        <v>250</v>
      </c>
      <c r="H133" s="154"/>
      <c r="I133" s="154"/>
    </row>
    <row r="134" spans="1:9" x14ac:dyDescent="0.2">
      <c r="A134" s="109"/>
      <c r="B134" s="134"/>
      <c r="C134" s="109"/>
      <c r="D134" s="109"/>
      <c r="E134" s="134"/>
      <c r="F134" s="109"/>
      <c r="G134" s="109"/>
      <c r="H134" s="154"/>
      <c r="I134" s="154"/>
    </row>
    <row r="135" spans="1:9" x14ac:dyDescent="0.2">
      <c r="A135" s="109"/>
      <c r="B135" s="109"/>
      <c r="C135" s="109"/>
      <c r="D135" s="109"/>
      <c r="E135" s="109"/>
      <c r="F135" s="109"/>
      <c r="G135" s="115"/>
      <c r="H135" s="154"/>
      <c r="I135" s="154"/>
    </row>
    <row r="136" spans="1:9" x14ac:dyDescent="0.2">
      <c r="A136" s="255" t="s">
        <v>60</v>
      </c>
      <c r="B136" s="255"/>
      <c r="C136" s="255"/>
      <c r="D136" s="255"/>
      <c r="E136" s="255"/>
      <c r="F136" s="255"/>
      <c r="G136" s="255"/>
      <c r="H136" s="154"/>
      <c r="I136" s="154"/>
    </row>
    <row r="137" spans="1:9" x14ac:dyDescent="0.2">
      <c r="A137" s="246" t="s">
        <v>51</v>
      </c>
      <c r="B137" s="247"/>
      <c r="C137" s="247"/>
      <c r="D137" s="247"/>
      <c r="E137" s="247"/>
      <c r="F137" s="247"/>
      <c r="G137" s="247"/>
      <c r="H137" s="248"/>
      <c r="I137" s="154"/>
    </row>
    <row r="138" spans="1:9" x14ac:dyDescent="0.2">
      <c r="A138" s="216"/>
      <c r="B138" s="216" t="s">
        <v>0</v>
      </c>
      <c r="C138" s="216" t="s">
        <v>165</v>
      </c>
      <c r="D138" s="216" t="s">
        <v>5</v>
      </c>
      <c r="E138" s="216" t="s">
        <v>6</v>
      </c>
      <c r="F138" s="216" t="s">
        <v>13</v>
      </c>
      <c r="G138" s="216" t="s">
        <v>11</v>
      </c>
      <c r="H138" s="216" t="s">
        <v>127</v>
      </c>
    </row>
    <row r="139" spans="1:9" x14ac:dyDescent="0.2">
      <c r="A139" s="179" t="s">
        <v>1</v>
      </c>
      <c r="B139" s="159">
        <f>(B33*$B$133)/1000000000</f>
        <v>5.604811524E-3</v>
      </c>
      <c r="C139" s="159">
        <f>(C33*$C$133)/1000000000</f>
        <v>0</v>
      </c>
      <c r="D139" s="159">
        <f>(D33*$D$133)/1000000000</f>
        <v>3.3487927199999996E-2</v>
      </c>
      <c r="E139" s="159">
        <f>(E33*$E$133)/1000000000</f>
        <v>1.0624439999999999E-5</v>
      </c>
      <c r="F139" s="159">
        <f>(F33*$F$133)/1000000000</f>
        <v>8.9576280000000005E-3</v>
      </c>
      <c r="G139" s="159">
        <f>SUM(B139:F139)</f>
        <v>4.8060991163999998E-2</v>
      </c>
      <c r="H139" s="70">
        <f>SUM(C139:F139)</f>
        <v>4.2456179640000001E-2</v>
      </c>
    </row>
    <row r="140" spans="1:9" ht="14.25" x14ac:dyDescent="0.2">
      <c r="A140" s="121" t="s">
        <v>24</v>
      </c>
      <c r="B140" s="159">
        <f t="shared" ref="B140:B145" si="36">(B34*$B$133)/1000000000</f>
        <v>4.0772386800000003E-4</v>
      </c>
      <c r="C140" s="108"/>
      <c r="D140" s="159">
        <f t="shared" ref="D140:D142" si="37">(D34*$D$133)/1000000000</f>
        <v>5.4955907999999993E-4</v>
      </c>
      <c r="E140" s="159">
        <f t="shared" ref="E140" si="38">(E34*$E$133)/1000000000</f>
        <v>3.1904460599999999E-5</v>
      </c>
      <c r="F140" s="159">
        <f t="shared" ref="F140:F142" si="39">(F34*$F$133)/1000000000</f>
        <v>6.4800000000000017E-5</v>
      </c>
      <c r="G140" s="160">
        <f>SUM(B140:F140)</f>
        <v>1.0539874085999999E-3</v>
      </c>
      <c r="H140" s="120"/>
    </row>
    <row r="141" spans="1:9" ht="14.25" x14ac:dyDescent="0.2">
      <c r="A141" s="103" t="s">
        <v>2</v>
      </c>
      <c r="B141" s="159">
        <f t="shared" si="36"/>
        <v>4.5191196E-4</v>
      </c>
      <c r="C141" s="108"/>
      <c r="D141" s="108"/>
      <c r="E141" s="108"/>
      <c r="F141" s="108"/>
      <c r="G141" s="159">
        <f>SUM(B141:F141)</f>
        <v>4.5191196E-4</v>
      </c>
      <c r="H141" s="120"/>
    </row>
    <row r="142" spans="1:9" ht="14.25" x14ac:dyDescent="0.2">
      <c r="A142" s="103" t="s">
        <v>3</v>
      </c>
      <c r="B142" s="159">
        <f t="shared" si="36"/>
        <v>3.5157832919999999E-3</v>
      </c>
      <c r="C142" s="159">
        <f t="shared" ref="C142" si="40">(C36*$C$133)/1000000000</f>
        <v>0</v>
      </c>
      <c r="D142" s="159">
        <f t="shared" si="37"/>
        <v>1.1766157199999999E-2</v>
      </c>
      <c r="E142" s="108"/>
      <c r="F142" s="159">
        <f t="shared" si="39"/>
        <v>3.0810240000000003E-3</v>
      </c>
      <c r="G142" s="159">
        <f>SUM(C142:F142)</f>
        <v>1.4847181199999998E-2</v>
      </c>
      <c r="H142" s="120"/>
    </row>
    <row r="143" spans="1:9" ht="14.25" x14ac:dyDescent="0.2">
      <c r="A143" s="103" t="s">
        <v>4</v>
      </c>
      <c r="B143" s="108"/>
      <c r="C143" s="108"/>
      <c r="D143" s="108"/>
      <c r="E143" s="108"/>
      <c r="F143" s="108"/>
      <c r="G143" s="49"/>
      <c r="H143" s="120"/>
    </row>
    <row r="144" spans="1:9" ht="14.25" x14ac:dyDescent="0.2">
      <c r="A144" s="110" t="s">
        <v>19</v>
      </c>
      <c r="B144" s="108"/>
      <c r="C144" s="108"/>
      <c r="D144" s="108"/>
      <c r="E144" s="108"/>
      <c r="F144" s="108"/>
      <c r="G144" s="49"/>
      <c r="H144" s="154"/>
    </row>
    <row r="145" spans="1:8" ht="14.25" x14ac:dyDescent="0.2">
      <c r="A145" s="110" t="s">
        <v>163</v>
      </c>
      <c r="B145" s="159">
        <f t="shared" si="36"/>
        <v>1.8844645140000001E-2</v>
      </c>
      <c r="C145" s="108"/>
      <c r="D145" s="108"/>
      <c r="E145" s="108"/>
      <c r="F145" s="108"/>
      <c r="G145" s="49"/>
      <c r="H145" s="154"/>
    </row>
    <row r="146" spans="1:8" x14ac:dyDescent="0.2">
      <c r="A146" s="111" t="s">
        <v>10</v>
      </c>
      <c r="B146" s="161">
        <f>SUM(B139:B145)</f>
        <v>2.8824875784E-2</v>
      </c>
      <c r="C146" s="161">
        <f t="shared" ref="C146:E146" si="41">SUM(C139:C145)</f>
        <v>0</v>
      </c>
      <c r="D146" s="161">
        <f>SUM(D139:D145)</f>
        <v>4.5803643479999989E-2</v>
      </c>
      <c r="E146" s="161">
        <f t="shared" si="41"/>
        <v>4.2528900599999995E-5</v>
      </c>
      <c r="F146" s="161">
        <f>SUM(F139:F145)</f>
        <v>1.2103452000000001E-2</v>
      </c>
      <c r="G146" s="161">
        <f>SUM(G139:G145)</f>
        <v>6.4414071732599998E-2</v>
      </c>
      <c r="H146" s="154"/>
    </row>
    <row r="147" spans="1:8" x14ac:dyDescent="0.2">
      <c r="A147" s="113"/>
      <c r="B147" s="49"/>
      <c r="C147" s="49"/>
      <c r="D147" s="127"/>
      <c r="E147" s="127"/>
      <c r="F147" s="127"/>
      <c r="G147" s="127"/>
      <c r="H147" s="154"/>
    </row>
  </sheetData>
  <mergeCells count="22">
    <mergeCell ref="K1:M1"/>
    <mergeCell ref="A137:H137"/>
    <mergeCell ref="A1:I1"/>
    <mergeCell ref="A18:L18"/>
    <mergeCell ref="A31:L31"/>
    <mergeCell ref="A47:L47"/>
    <mergeCell ref="A65:H65"/>
    <mergeCell ref="A46:I46"/>
    <mergeCell ref="A17:I17"/>
    <mergeCell ref="A30:I30"/>
    <mergeCell ref="A136:G136"/>
    <mergeCell ref="A118:G118"/>
    <mergeCell ref="A100:G100"/>
    <mergeCell ref="A82:F82"/>
    <mergeCell ref="A64:F64"/>
    <mergeCell ref="A83:H83"/>
    <mergeCell ref="A101:H101"/>
    <mergeCell ref="A119:H119"/>
    <mergeCell ref="K32:L32"/>
    <mergeCell ref="K48:L48"/>
    <mergeCell ref="I12:K12"/>
    <mergeCell ref="K19:L1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N4" sqref="N4"/>
    </sheetView>
  </sheetViews>
  <sheetFormatPr defaultRowHeight="15" x14ac:dyDescent="0.25"/>
  <cols>
    <col min="1" max="1" width="26.85546875" bestFit="1" customWidth="1"/>
    <col min="2" max="2" width="9" bestFit="1" customWidth="1"/>
    <col min="3" max="3" width="12.28515625" bestFit="1" customWidth="1"/>
    <col min="4" max="4" width="9.5703125" customWidth="1"/>
    <col min="5" max="5" width="10.140625" customWidth="1"/>
    <col min="6" max="6" width="6.7109375" bestFit="1" customWidth="1"/>
    <col min="7" max="7" width="16.85546875" customWidth="1"/>
    <col min="8" max="8" width="15" customWidth="1"/>
    <col min="9" max="9" width="17.28515625" customWidth="1"/>
    <col min="12" max="12" width="10" bestFit="1" customWidth="1"/>
  </cols>
  <sheetData>
    <row r="1" spans="1:14" ht="15" customHeight="1" x14ac:dyDescent="0.35">
      <c r="A1" s="269" t="s">
        <v>143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  <c r="L1" s="79"/>
      <c r="M1" s="79"/>
      <c r="N1" s="39" t="s">
        <v>83</v>
      </c>
    </row>
    <row r="2" spans="1:14" ht="45" x14ac:dyDescent="0.25">
      <c r="A2" s="226"/>
      <c r="B2" s="227" t="s">
        <v>0</v>
      </c>
      <c r="C2" s="216" t="s">
        <v>165</v>
      </c>
      <c r="D2" s="227" t="s">
        <v>5</v>
      </c>
      <c r="E2" s="227" t="s">
        <v>6</v>
      </c>
      <c r="F2" s="227" t="s">
        <v>13</v>
      </c>
      <c r="G2" s="227" t="s">
        <v>8</v>
      </c>
      <c r="H2" s="227" t="s">
        <v>7</v>
      </c>
      <c r="I2" s="227" t="s">
        <v>14</v>
      </c>
      <c r="J2" s="227" t="s">
        <v>11</v>
      </c>
      <c r="K2" s="227" t="s">
        <v>39</v>
      </c>
    </row>
    <row r="3" spans="1:14" x14ac:dyDescent="0.25">
      <c r="A3" s="228" t="s">
        <v>1</v>
      </c>
      <c r="B3" s="60">
        <f>'zużycie całkowite i emisja'!B67</f>
        <v>18.682705080000002</v>
      </c>
      <c r="C3" s="170">
        <f>'zużycie całkowite i emisja'!C67</f>
        <v>3.4524E-3</v>
      </c>
      <c r="D3" s="170">
        <f>'zużycie całkowite i emisja'!D67</f>
        <v>111.626424</v>
      </c>
      <c r="E3" s="170">
        <f>'zużycie całkowite i emisja'!E67</f>
        <v>0.14874216000000001</v>
      </c>
      <c r="F3" s="170">
        <f>'zużycie całkowite i emisja'!F67</f>
        <v>0.35830511999999998</v>
      </c>
      <c r="G3" s="53"/>
      <c r="H3" s="53"/>
      <c r="I3" s="53"/>
      <c r="J3" s="61">
        <f>SUM(B3:I3)</f>
        <v>130.81962876000003</v>
      </c>
      <c r="K3" s="61">
        <f>(J3*100)/$J$10</f>
        <v>52.315739731901012</v>
      </c>
    </row>
    <row r="4" spans="1:14" x14ac:dyDescent="0.25">
      <c r="A4" s="228" t="s">
        <v>24</v>
      </c>
      <c r="B4" s="170">
        <f>'zużycie całkowite i emisja'!B68</f>
        <v>1.3590795600000001</v>
      </c>
      <c r="C4" s="170">
        <f>'zużycie całkowite i emisja'!C68</f>
        <v>0</v>
      </c>
      <c r="D4" s="170">
        <f>'zużycie całkowite i emisja'!D68</f>
        <v>1.8318635999999999</v>
      </c>
      <c r="E4" s="170">
        <f>'zużycie całkowite i emisja'!E68</f>
        <v>0.44666244840000008</v>
      </c>
      <c r="F4" s="170">
        <f>'zużycie całkowite i emisja'!F68</f>
        <v>2.5920000000000006E-3</v>
      </c>
      <c r="G4" s="164"/>
      <c r="H4" s="164"/>
      <c r="I4" s="53"/>
      <c r="J4" s="171">
        <f t="shared" ref="J4:J9" si="0">SUM(B4:I4)</f>
        <v>3.6401976083999998</v>
      </c>
      <c r="K4" s="171">
        <f t="shared" ref="K4:K9" si="1">(J4*100)/$J$10</f>
        <v>1.4557420202064704</v>
      </c>
    </row>
    <row r="5" spans="1:14" x14ac:dyDescent="0.25">
      <c r="A5" s="228" t="s">
        <v>2</v>
      </c>
      <c r="B5" s="170">
        <f>'zużycie całkowite i emisja'!B69</f>
        <v>1.5063731999999999</v>
      </c>
      <c r="C5" s="49"/>
      <c r="D5" s="49"/>
      <c r="E5" s="49"/>
      <c r="F5" s="49"/>
      <c r="G5" s="49"/>
      <c r="H5" s="49"/>
      <c r="I5" s="49"/>
      <c r="J5" s="171">
        <f t="shared" si="0"/>
        <v>1.5063731999999999</v>
      </c>
      <c r="K5" s="171">
        <f t="shared" si="1"/>
        <v>0.60240981431684992</v>
      </c>
    </row>
    <row r="6" spans="1:14" x14ac:dyDescent="0.25">
      <c r="A6" s="228" t="s">
        <v>3</v>
      </c>
      <c r="B6" s="170">
        <f>'zużycie całkowite i emisja'!B70</f>
        <v>11.71927764</v>
      </c>
      <c r="C6" s="170">
        <f>'zużycie całkowite i emisja'!C70</f>
        <v>1.2186000000000002E-3</v>
      </c>
      <c r="D6" s="170">
        <f>'zużycie całkowite i emisja'!D70</f>
        <v>39.220523999999997</v>
      </c>
      <c r="E6" s="170">
        <f>'zużycie całkowite i emisja'!E70</f>
        <v>0</v>
      </c>
      <c r="F6" s="170">
        <f>'zużycie całkowite i emisja'!F70</f>
        <v>0.12324096000000002</v>
      </c>
      <c r="G6" s="53"/>
      <c r="H6" s="53"/>
      <c r="I6" s="53"/>
      <c r="J6" s="171">
        <f t="shared" si="0"/>
        <v>51.064261199999997</v>
      </c>
      <c r="K6" s="171">
        <f t="shared" si="1"/>
        <v>20.420976759092053</v>
      </c>
    </row>
    <row r="7" spans="1:14" x14ac:dyDescent="0.25">
      <c r="A7" s="228" t="s">
        <v>4</v>
      </c>
      <c r="B7" s="49"/>
      <c r="C7" s="49"/>
      <c r="D7" s="49"/>
      <c r="E7" s="49"/>
      <c r="F7" s="49"/>
      <c r="G7" s="210">
        <v>0.15890792888967306</v>
      </c>
      <c r="H7" s="210">
        <v>5.2674355569018526E-2</v>
      </c>
      <c r="I7" s="210">
        <v>0</v>
      </c>
      <c r="J7" s="171">
        <f>SUM(B7:I7)</f>
        <v>0.21158228445869159</v>
      </c>
      <c r="K7" s="171">
        <f t="shared" si="1"/>
        <v>8.46133247016711E-2</v>
      </c>
    </row>
    <row r="8" spans="1:14" x14ac:dyDescent="0.25">
      <c r="A8" s="228" t="s">
        <v>19</v>
      </c>
      <c r="B8" s="49"/>
      <c r="C8" s="49"/>
      <c r="D8" s="49"/>
      <c r="E8" s="49"/>
      <c r="F8" s="49"/>
      <c r="G8" s="210" t="s">
        <v>188</v>
      </c>
      <c r="H8" s="210">
        <v>3.5138876159999987E-4</v>
      </c>
      <c r="I8" s="210" t="s">
        <v>188</v>
      </c>
      <c r="J8" s="171">
        <f t="shared" si="0"/>
        <v>3.5138876159999987E-4</v>
      </c>
      <c r="K8" s="171">
        <f t="shared" si="1"/>
        <v>1.4052297174995133E-4</v>
      </c>
    </row>
    <row r="9" spans="1:14" s="163" customFormat="1" x14ac:dyDescent="0.25">
      <c r="A9" s="224" t="s">
        <v>167</v>
      </c>
      <c r="B9" s="170">
        <f>'zużycie całkowite i emisja'!B73</f>
        <v>62.815483800000003</v>
      </c>
      <c r="C9" s="49"/>
      <c r="D9" s="49"/>
      <c r="E9" s="49"/>
      <c r="F9" s="49"/>
      <c r="G9" s="49"/>
      <c r="H9" s="49"/>
      <c r="I9" s="49"/>
      <c r="J9" s="171">
        <f t="shared" si="0"/>
        <v>62.815483800000003</v>
      </c>
      <c r="K9" s="171">
        <f t="shared" si="1"/>
        <v>25.120377826810181</v>
      </c>
    </row>
    <row r="10" spans="1:14" x14ac:dyDescent="0.25">
      <c r="A10" s="226" t="s">
        <v>11</v>
      </c>
      <c r="B10" s="61">
        <f>SUM(B3:B9)</f>
        <v>96.082919279999999</v>
      </c>
      <c r="C10" s="171">
        <f t="shared" ref="C10:I10" si="2">SUM(C3:C9)</f>
        <v>4.6709999999999998E-3</v>
      </c>
      <c r="D10" s="171">
        <f t="shared" si="2"/>
        <v>152.67881160000002</v>
      </c>
      <c r="E10" s="171">
        <f t="shared" si="2"/>
        <v>0.59540460840000009</v>
      </c>
      <c r="F10" s="171">
        <f t="shared" si="2"/>
        <v>0.48413807999999997</v>
      </c>
      <c r="G10" s="171">
        <f t="shared" si="2"/>
        <v>0.15890792888967306</v>
      </c>
      <c r="H10" s="171">
        <f t="shared" si="2"/>
        <v>5.3025744330618525E-2</v>
      </c>
      <c r="I10" s="171">
        <f t="shared" si="2"/>
        <v>0</v>
      </c>
      <c r="J10" s="61">
        <f>SUM(J3:J9)</f>
        <v>250.05787824162036</v>
      </c>
      <c r="K10" s="61"/>
    </row>
    <row r="11" spans="1:14" x14ac:dyDescent="0.25">
      <c r="A11" s="226" t="s">
        <v>39</v>
      </c>
      <c r="B11" s="60">
        <f t="shared" ref="B11:J11" si="3">(B10*100)/$J$10</f>
        <v>38.424271994805594</v>
      </c>
      <c r="C11" s="60">
        <f t="shared" si="3"/>
        <v>1.8679675412932241E-3</v>
      </c>
      <c r="D11" s="60">
        <f t="shared" si="3"/>
        <v>61.057389062732476</v>
      </c>
      <c r="E11" s="60">
        <f t="shared" si="3"/>
        <v>0.23810671856724538</v>
      </c>
      <c r="F11" s="60">
        <f t="shared" si="3"/>
        <v>0.19361040867994481</v>
      </c>
      <c r="G11" s="60">
        <f t="shared" si="3"/>
        <v>6.3548459263549795E-2</v>
      </c>
      <c r="H11" s="60">
        <f t="shared" si="3"/>
        <v>2.120538840987125E-2</v>
      </c>
      <c r="I11" s="60">
        <f t="shared" si="3"/>
        <v>0</v>
      </c>
      <c r="J11" s="60">
        <f t="shared" si="3"/>
        <v>100</v>
      </c>
      <c r="K11" s="62"/>
    </row>
    <row r="12" spans="1:14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4" ht="18" x14ac:dyDescent="0.35">
      <c r="A13" s="269" t="s">
        <v>144</v>
      </c>
      <c r="B13" s="270"/>
      <c r="C13" s="270"/>
      <c r="D13" s="270"/>
      <c r="E13" s="270"/>
      <c r="F13" s="270"/>
      <c r="G13" s="270"/>
      <c r="H13" s="270"/>
      <c r="I13" s="270"/>
      <c r="J13" s="271"/>
      <c r="K13" s="79"/>
    </row>
    <row r="14" spans="1:14" ht="45" x14ac:dyDescent="0.25">
      <c r="A14" s="229"/>
      <c r="B14" s="230" t="s">
        <v>0</v>
      </c>
      <c r="C14" s="216" t="s">
        <v>165</v>
      </c>
      <c r="D14" s="230" t="s">
        <v>5</v>
      </c>
      <c r="E14" s="230" t="s">
        <v>6</v>
      </c>
      <c r="F14" s="230" t="s">
        <v>13</v>
      </c>
      <c r="G14" s="230" t="s">
        <v>8</v>
      </c>
      <c r="H14" s="230" t="s">
        <v>7</v>
      </c>
      <c r="I14" s="230" t="s">
        <v>14</v>
      </c>
      <c r="J14" s="227" t="s">
        <v>40</v>
      </c>
    </row>
    <row r="15" spans="1:14" x14ac:dyDescent="0.25">
      <c r="A15" s="42" t="s">
        <v>40</v>
      </c>
      <c r="B15" s="63">
        <f>B10</f>
        <v>96.082919279999999</v>
      </c>
      <c r="C15" s="63">
        <f t="shared" ref="C15:I15" si="4">C10</f>
        <v>4.6709999999999998E-3</v>
      </c>
      <c r="D15" s="63">
        <f t="shared" si="4"/>
        <v>152.67881160000002</v>
      </c>
      <c r="E15" s="63">
        <f t="shared" si="4"/>
        <v>0.59540460840000009</v>
      </c>
      <c r="F15" s="63">
        <f t="shared" si="4"/>
        <v>0.48413807999999997</v>
      </c>
      <c r="G15" s="82">
        <f t="shared" si="4"/>
        <v>0.15890792888967306</v>
      </c>
      <c r="H15" s="82">
        <f t="shared" si="4"/>
        <v>5.3025744330618525E-2</v>
      </c>
      <c r="I15" s="82">
        <f t="shared" si="4"/>
        <v>0</v>
      </c>
      <c r="J15" s="63">
        <f>J10</f>
        <v>250.05787824162036</v>
      </c>
    </row>
    <row r="16" spans="1:14" x14ac:dyDescent="0.25">
      <c r="A16" s="42" t="s">
        <v>145</v>
      </c>
      <c r="B16" s="40">
        <f>B11</f>
        <v>38.424271994805594</v>
      </c>
      <c r="C16" s="40">
        <f t="shared" ref="C16:I16" si="5">C11</f>
        <v>1.8679675412932241E-3</v>
      </c>
      <c r="D16" s="40">
        <f t="shared" si="5"/>
        <v>61.057389062732476</v>
      </c>
      <c r="E16" s="40">
        <f t="shared" si="5"/>
        <v>0.23810671856724538</v>
      </c>
      <c r="F16" s="40">
        <f t="shared" si="5"/>
        <v>0.19361040867994481</v>
      </c>
      <c r="G16" s="83">
        <f t="shared" si="5"/>
        <v>6.3548459263549795E-2</v>
      </c>
      <c r="H16" s="83">
        <f t="shared" si="5"/>
        <v>2.120538840987125E-2</v>
      </c>
      <c r="I16" s="83">
        <f t="shared" si="5"/>
        <v>0</v>
      </c>
      <c r="J16" s="40">
        <f>J11</f>
        <v>100</v>
      </c>
    </row>
    <row r="17" spans="1:11" x14ac:dyDescent="0.25">
      <c r="A17" s="44"/>
      <c r="B17" s="1"/>
      <c r="C17" s="1"/>
      <c r="D17" s="1"/>
      <c r="E17" s="1"/>
      <c r="F17" s="1"/>
      <c r="G17" s="64"/>
      <c r="H17" s="64"/>
      <c r="I17" s="1"/>
      <c r="J17" s="1"/>
      <c r="K17" s="44"/>
    </row>
    <row r="18" spans="1:11" ht="18" x14ac:dyDescent="0.25">
      <c r="A18" s="266" t="s">
        <v>144</v>
      </c>
      <c r="B18" s="267"/>
      <c r="C18" s="268"/>
      <c r="D18" s="1"/>
      <c r="E18" s="1"/>
      <c r="F18" s="1"/>
      <c r="G18" s="2"/>
      <c r="H18" s="1"/>
      <c r="I18" s="1"/>
      <c r="J18" s="1"/>
      <c r="K18" s="44"/>
    </row>
    <row r="19" spans="1:11" x14ac:dyDescent="0.25">
      <c r="A19" s="231"/>
      <c r="B19" s="231" t="s">
        <v>40</v>
      </c>
      <c r="C19" s="231" t="s">
        <v>39</v>
      </c>
      <c r="D19" s="1"/>
      <c r="E19" s="1"/>
      <c r="F19" s="1"/>
      <c r="G19" s="1"/>
      <c r="H19" s="1"/>
      <c r="I19" s="65"/>
      <c r="J19" s="1"/>
      <c r="K19" s="44"/>
    </row>
    <row r="20" spans="1:11" x14ac:dyDescent="0.25">
      <c r="A20" s="232" t="s">
        <v>1</v>
      </c>
      <c r="B20" s="40">
        <f t="shared" ref="B20:C26" si="6">J3</f>
        <v>130.81962876000003</v>
      </c>
      <c r="C20" s="40">
        <f t="shared" si="6"/>
        <v>52.315739731901012</v>
      </c>
      <c r="D20" s="1"/>
      <c r="E20" s="1"/>
      <c r="F20" s="1"/>
      <c r="G20" s="1"/>
      <c r="H20" s="1"/>
      <c r="I20" s="65"/>
      <c r="J20" s="1"/>
      <c r="K20" s="44"/>
    </row>
    <row r="21" spans="1:11" x14ac:dyDescent="0.25">
      <c r="A21" s="232" t="s">
        <v>24</v>
      </c>
      <c r="B21" s="172">
        <f t="shared" si="6"/>
        <v>3.6401976083999998</v>
      </c>
      <c r="C21" s="172">
        <f t="shared" si="6"/>
        <v>1.4557420202064704</v>
      </c>
      <c r="D21" s="44"/>
      <c r="E21" s="44"/>
      <c r="F21" s="44"/>
      <c r="G21" s="44"/>
      <c r="H21" s="44"/>
      <c r="I21" s="55"/>
      <c r="J21" s="44"/>
      <c r="K21" s="44"/>
    </row>
    <row r="22" spans="1:11" x14ac:dyDescent="0.25">
      <c r="A22" s="232" t="s">
        <v>2</v>
      </c>
      <c r="B22" s="172">
        <f t="shared" si="6"/>
        <v>1.5063731999999999</v>
      </c>
      <c r="C22" s="172">
        <f t="shared" si="6"/>
        <v>0.60240981431684992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232" t="s">
        <v>3</v>
      </c>
      <c r="B23" s="172">
        <f t="shared" si="6"/>
        <v>51.064261199999997</v>
      </c>
      <c r="C23" s="172">
        <f t="shared" si="6"/>
        <v>20.420976759092053</v>
      </c>
      <c r="D23" s="265" t="s">
        <v>47</v>
      </c>
      <c r="E23" s="265"/>
      <c r="F23" s="44"/>
      <c r="G23" s="44"/>
      <c r="H23" s="44"/>
      <c r="I23" s="44"/>
      <c r="J23" s="44"/>
      <c r="K23" s="44"/>
    </row>
    <row r="24" spans="1:11" x14ac:dyDescent="0.25">
      <c r="A24" s="232" t="s">
        <v>4</v>
      </c>
      <c r="B24" s="172">
        <f t="shared" si="6"/>
        <v>0.21158228445869159</v>
      </c>
      <c r="C24" s="172">
        <f t="shared" si="6"/>
        <v>8.46133247016711E-2</v>
      </c>
      <c r="D24" s="233" t="s">
        <v>40</v>
      </c>
      <c r="E24" s="233" t="s">
        <v>39</v>
      </c>
      <c r="F24" s="44"/>
      <c r="G24" s="44"/>
      <c r="H24" s="44"/>
      <c r="I24" s="44"/>
      <c r="J24" s="44"/>
      <c r="K24" s="44"/>
    </row>
    <row r="25" spans="1:11" x14ac:dyDescent="0.25">
      <c r="A25" s="232" t="s">
        <v>19</v>
      </c>
      <c r="B25" s="172">
        <f t="shared" si="6"/>
        <v>3.5138876159999987E-4</v>
      </c>
      <c r="C25" s="172">
        <f t="shared" si="6"/>
        <v>1.4052297174995133E-4</v>
      </c>
      <c r="D25" s="60">
        <f>B24+B25</f>
        <v>0.21193367322029161</v>
      </c>
      <c r="E25" s="60">
        <f>C24+C25</f>
        <v>8.4753847673421048E-2</v>
      </c>
      <c r="F25" s="44"/>
      <c r="G25" s="44"/>
      <c r="H25" s="44"/>
      <c r="I25" s="44"/>
      <c r="J25" s="44"/>
      <c r="K25" s="44"/>
    </row>
    <row r="26" spans="1:11" s="163" customFormat="1" x14ac:dyDescent="0.25">
      <c r="A26" s="222" t="s">
        <v>167</v>
      </c>
      <c r="B26" s="172">
        <f t="shared" si="6"/>
        <v>62.815483800000003</v>
      </c>
      <c r="C26" s="172">
        <f t="shared" si="6"/>
        <v>25.120377826810181</v>
      </c>
      <c r="D26" s="178"/>
      <c r="E26" s="178"/>
    </row>
    <row r="27" spans="1:11" x14ac:dyDescent="0.25">
      <c r="A27" s="231" t="s">
        <v>40</v>
      </c>
      <c r="B27" s="63">
        <f>SUM(B20:B26)</f>
        <v>250.05787824162036</v>
      </c>
      <c r="C27" s="63">
        <f>SUM(C20:C26)</f>
        <v>100</v>
      </c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</sheetData>
  <mergeCells count="4">
    <mergeCell ref="D23:E23"/>
    <mergeCell ref="A18:C18"/>
    <mergeCell ref="A1:K1"/>
    <mergeCell ref="A13:J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22" sqref="G22"/>
    </sheetView>
  </sheetViews>
  <sheetFormatPr defaultRowHeight="15" x14ac:dyDescent="0.25"/>
  <cols>
    <col min="1" max="1" width="8.7109375" customWidth="1"/>
    <col min="2" max="2" width="10.42578125" customWidth="1"/>
    <col min="3" max="3" width="12.28515625" bestFit="1" customWidth="1"/>
    <col min="4" max="4" width="7" customWidth="1"/>
    <col min="5" max="5" width="12.7109375" bestFit="1" customWidth="1"/>
    <col min="6" max="6" width="10.28515625" customWidth="1"/>
    <col min="7" max="7" width="14.5703125" bestFit="1" customWidth="1"/>
    <col min="8" max="8" width="14.28515625" bestFit="1" customWidth="1"/>
    <col min="11" max="12" width="12.28515625" bestFit="1" customWidth="1"/>
  </cols>
  <sheetData>
    <row r="1" spans="1:12" x14ac:dyDescent="0.25">
      <c r="A1" s="269" t="s">
        <v>134</v>
      </c>
      <c r="B1" s="270"/>
      <c r="C1" s="270"/>
      <c r="D1" s="270"/>
      <c r="E1" s="270"/>
      <c r="F1" s="270"/>
      <c r="G1" s="270"/>
      <c r="H1" s="270"/>
      <c r="I1" s="270"/>
      <c r="J1" s="270"/>
      <c r="K1" s="271"/>
      <c r="L1" s="81"/>
    </row>
    <row r="2" spans="1:12" x14ac:dyDescent="0.25">
      <c r="A2" s="226"/>
      <c r="B2" s="233" t="s">
        <v>0</v>
      </c>
      <c r="C2" s="216" t="s">
        <v>165</v>
      </c>
      <c r="D2" s="233" t="s">
        <v>5</v>
      </c>
      <c r="E2" s="233" t="s">
        <v>6</v>
      </c>
      <c r="F2" s="233" t="s">
        <v>13</v>
      </c>
      <c r="G2" s="233" t="s">
        <v>8</v>
      </c>
      <c r="H2" s="233" t="s">
        <v>7</v>
      </c>
      <c r="I2" s="233" t="s">
        <v>14</v>
      </c>
      <c r="J2" s="233" t="s">
        <v>11</v>
      </c>
      <c r="K2" s="233" t="s">
        <v>39</v>
      </c>
    </row>
    <row r="3" spans="1:12" x14ac:dyDescent="0.25">
      <c r="A3" s="228" t="s">
        <v>1</v>
      </c>
      <c r="B3" s="60">
        <f>'zużycie całkowite i emisja'!B85</f>
        <v>2.6986129560000003</v>
      </c>
      <c r="C3" s="170">
        <f>'zużycie całkowite i emisja'!C85</f>
        <v>0.34523999999999999</v>
      </c>
      <c r="D3" s="170">
        <f>'zużycie całkowite i emisja'!D85</f>
        <v>16.1238168</v>
      </c>
      <c r="E3" s="170">
        <f>'zużycie całkowite i emisja'!E85</f>
        <v>7.4371080000000006E-2</v>
      </c>
      <c r="F3" s="170">
        <f>'zużycie całkowite i emisja'!F85</f>
        <v>1.7915256000000002</v>
      </c>
      <c r="G3" s="53"/>
      <c r="H3" s="53"/>
      <c r="I3" s="53"/>
      <c r="J3" s="61">
        <f>SUM(B3:I3)</f>
        <v>21.033566436000001</v>
      </c>
      <c r="K3" s="61">
        <f>(J3*100)/$J$10</f>
        <v>17.984572759707653</v>
      </c>
    </row>
    <row r="4" spans="1:12" x14ac:dyDescent="0.25">
      <c r="A4" s="228" t="s">
        <v>24</v>
      </c>
      <c r="B4" s="170">
        <f>'zużycie całkowite i emisja'!B86</f>
        <v>0.196311492</v>
      </c>
      <c r="C4" s="170">
        <f>'zużycie całkowite i emisja'!C86</f>
        <v>0</v>
      </c>
      <c r="D4" s="170">
        <f>'zużycie całkowite i emisja'!D86</f>
        <v>0.26460251999999995</v>
      </c>
      <c r="E4" s="170">
        <f>'zużycie całkowite i emisja'!E86</f>
        <v>0.22333122420000004</v>
      </c>
      <c r="F4" s="170">
        <f>'zużycie całkowite i emisja'!F86</f>
        <v>1.2960000000000001E-2</v>
      </c>
      <c r="G4" s="164"/>
      <c r="H4" s="164"/>
      <c r="I4" s="53"/>
      <c r="J4" s="171">
        <f t="shared" ref="J4:J9" si="0">SUM(B4:I4)</f>
        <v>0.69720523619999997</v>
      </c>
      <c r="K4" s="171">
        <f t="shared" ref="K4:K9" si="1">(J4*100)/$J$10</f>
        <v>0.59613942966072742</v>
      </c>
    </row>
    <row r="5" spans="1:12" x14ac:dyDescent="0.25">
      <c r="A5" s="228" t="s">
        <v>2</v>
      </c>
      <c r="B5" s="170">
        <f>'zużycie całkowite i emisja'!B87</f>
        <v>0.21758724000000002</v>
      </c>
      <c r="C5" s="164"/>
      <c r="D5" s="164"/>
      <c r="E5" s="164"/>
      <c r="F5" s="164"/>
      <c r="G5" s="164"/>
      <c r="H5" s="164"/>
      <c r="I5" s="53"/>
      <c r="J5" s="171">
        <f t="shared" si="0"/>
        <v>0.21758724000000002</v>
      </c>
      <c r="K5" s="171">
        <f t="shared" si="1"/>
        <v>0.18604612590408401</v>
      </c>
    </row>
    <row r="6" spans="1:12" x14ac:dyDescent="0.25">
      <c r="A6" s="228" t="s">
        <v>3</v>
      </c>
      <c r="B6" s="170">
        <f>'zużycie całkowite i emisja'!B88</f>
        <v>1.6927845479999999</v>
      </c>
      <c r="C6" s="60">
        <f>'zużycie całkowite i emisja'!C88</f>
        <v>0.12186000000000001</v>
      </c>
      <c r="D6" s="60">
        <f>'zużycie całkowite i emisja'!D88</f>
        <v>5.6651867999999999</v>
      </c>
      <c r="E6" s="60">
        <f>'zużycie całkowite i emisja'!E88</f>
        <v>0</v>
      </c>
      <c r="F6" s="60">
        <f>'zużycie całkowite i emisja'!F88</f>
        <v>0.6162048</v>
      </c>
      <c r="G6" s="53"/>
      <c r="H6" s="53"/>
      <c r="I6" s="53"/>
      <c r="J6" s="171">
        <f t="shared" si="0"/>
        <v>8.0960361479999996</v>
      </c>
      <c r="K6" s="171">
        <f t="shared" si="1"/>
        <v>6.9224471090989672</v>
      </c>
    </row>
    <row r="7" spans="1:12" x14ac:dyDescent="0.25">
      <c r="A7" s="228" t="s">
        <v>4</v>
      </c>
      <c r="B7" s="164"/>
      <c r="C7" s="164"/>
      <c r="D7" s="164"/>
      <c r="E7" s="164"/>
      <c r="F7" s="164"/>
      <c r="G7" s="211">
        <v>29.949782735893809</v>
      </c>
      <c r="H7" s="211">
        <v>43.542600347744141</v>
      </c>
      <c r="I7" s="211">
        <v>4.0577548027838279</v>
      </c>
      <c r="J7" s="171">
        <f t="shared" si="0"/>
        <v>77.55013788642178</v>
      </c>
      <c r="K7" s="171">
        <f t="shared" si="1"/>
        <v>66.308588302771341</v>
      </c>
    </row>
    <row r="8" spans="1:12" x14ac:dyDescent="0.25">
      <c r="A8" s="228" t="s">
        <v>19</v>
      </c>
      <c r="B8" s="164"/>
      <c r="C8" s="164"/>
      <c r="D8" s="164"/>
      <c r="E8" s="164"/>
      <c r="F8" s="164"/>
      <c r="G8" s="211" t="s">
        <v>188</v>
      </c>
      <c r="H8" s="211">
        <v>0.28550336879999999</v>
      </c>
      <c r="I8" s="211" t="s">
        <v>188</v>
      </c>
      <c r="J8" s="171">
        <f t="shared" si="0"/>
        <v>0.28550336879999999</v>
      </c>
      <c r="K8" s="171">
        <f t="shared" si="1"/>
        <v>0.24411723636829499</v>
      </c>
    </row>
    <row r="9" spans="1:12" s="163" customFormat="1" x14ac:dyDescent="0.25">
      <c r="A9" s="224" t="s">
        <v>167</v>
      </c>
      <c r="B9" s="170">
        <f>'zużycie całkowite i emisja'!B91</f>
        <v>9.0733476599999996</v>
      </c>
      <c r="C9" s="164"/>
      <c r="D9" s="164"/>
      <c r="E9" s="164"/>
      <c r="F9" s="164"/>
      <c r="G9" s="164"/>
      <c r="H9" s="164"/>
      <c r="I9" s="164"/>
      <c r="J9" s="171">
        <f t="shared" si="0"/>
        <v>9.0733476599999996</v>
      </c>
      <c r="K9" s="171">
        <f t="shared" si="1"/>
        <v>7.7580890364889319</v>
      </c>
    </row>
    <row r="10" spans="1:12" x14ac:dyDescent="0.25">
      <c r="A10" s="226" t="s">
        <v>11</v>
      </c>
      <c r="B10" s="171">
        <f>SUM(B3:B9)</f>
        <v>13.878643896</v>
      </c>
      <c r="C10" s="171">
        <f t="shared" ref="C10:I10" si="2">SUM(C3:C9)</f>
        <v>0.46710000000000002</v>
      </c>
      <c r="D10" s="171">
        <f t="shared" si="2"/>
        <v>22.053606120000001</v>
      </c>
      <c r="E10" s="171">
        <f t="shared" si="2"/>
        <v>0.29770230420000005</v>
      </c>
      <c r="F10" s="171">
        <f t="shared" si="2"/>
        <v>2.4206904000000002</v>
      </c>
      <c r="G10" s="171">
        <f t="shared" si="2"/>
        <v>29.949782735893809</v>
      </c>
      <c r="H10" s="171">
        <f t="shared" si="2"/>
        <v>43.828103716544142</v>
      </c>
      <c r="I10" s="171">
        <f t="shared" si="2"/>
        <v>4.0577548027838279</v>
      </c>
      <c r="J10" s="171">
        <f>SUM(J3:J9)</f>
        <v>116.95338397542177</v>
      </c>
      <c r="K10" s="61"/>
    </row>
    <row r="11" spans="1:12" x14ac:dyDescent="0.25">
      <c r="A11" s="226" t="s">
        <v>39</v>
      </c>
      <c r="B11" s="60">
        <f t="shared" ref="B11:J11" si="3">(B10*100)/$J$10</f>
        <v>11.866816866895148</v>
      </c>
      <c r="C11" s="60">
        <f t="shared" si="3"/>
        <v>0.39938989717318735</v>
      </c>
      <c r="D11" s="60">
        <f t="shared" si="3"/>
        <v>18.856749048522317</v>
      </c>
      <c r="E11" s="60">
        <f t="shared" si="3"/>
        <v>0.25454783271817377</v>
      </c>
      <c r="F11" s="60">
        <f t="shared" si="3"/>
        <v>2.069790815551535</v>
      </c>
      <c r="G11" s="60">
        <f t="shared" si="3"/>
        <v>25.608307958141577</v>
      </c>
      <c r="H11" s="60">
        <f t="shared" si="3"/>
        <v>37.474848719003113</v>
      </c>
      <c r="I11" s="60">
        <f t="shared" si="3"/>
        <v>3.4695488619949479</v>
      </c>
      <c r="J11" s="60">
        <f t="shared" si="3"/>
        <v>100</v>
      </c>
      <c r="K11" s="62"/>
    </row>
    <row r="12" spans="1:12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25">
      <c r="A13" s="269" t="s">
        <v>134</v>
      </c>
      <c r="B13" s="270"/>
      <c r="C13" s="270"/>
      <c r="D13" s="270"/>
      <c r="E13" s="270"/>
      <c r="F13" s="270"/>
      <c r="G13" s="270"/>
      <c r="H13" s="270"/>
      <c r="I13" s="270"/>
      <c r="J13" s="271"/>
      <c r="K13" s="54"/>
    </row>
    <row r="14" spans="1:12" x14ac:dyDescent="0.25">
      <c r="A14" s="234"/>
      <c r="B14" s="234" t="s">
        <v>0</v>
      </c>
      <c r="C14" s="216" t="s">
        <v>165</v>
      </c>
      <c r="D14" s="234" t="s">
        <v>5</v>
      </c>
      <c r="E14" s="234" t="s">
        <v>6</v>
      </c>
      <c r="F14" s="234" t="s">
        <v>13</v>
      </c>
      <c r="G14" s="234" t="s">
        <v>8</v>
      </c>
      <c r="H14" s="234" t="s">
        <v>7</v>
      </c>
      <c r="I14" s="234" t="s">
        <v>14</v>
      </c>
      <c r="J14" s="233" t="s">
        <v>40</v>
      </c>
      <c r="K14" s="54"/>
    </row>
    <row r="15" spans="1:12" x14ac:dyDescent="0.25">
      <c r="A15" s="41" t="s">
        <v>40</v>
      </c>
      <c r="B15" s="61">
        <f>B10</f>
        <v>13.878643896</v>
      </c>
      <c r="C15" s="61">
        <f t="shared" ref="C15:I15" si="4">C10</f>
        <v>0.46710000000000002</v>
      </c>
      <c r="D15" s="61">
        <f t="shared" si="4"/>
        <v>22.053606120000001</v>
      </c>
      <c r="E15" s="61">
        <f t="shared" si="4"/>
        <v>0.29770230420000005</v>
      </c>
      <c r="F15" s="61">
        <f t="shared" si="4"/>
        <v>2.4206904000000002</v>
      </c>
      <c r="G15" s="61">
        <f t="shared" si="4"/>
        <v>29.949782735893809</v>
      </c>
      <c r="H15" s="61">
        <f t="shared" si="4"/>
        <v>43.828103716544142</v>
      </c>
      <c r="I15" s="61">
        <f t="shared" si="4"/>
        <v>4.0577548027838279</v>
      </c>
      <c r="J15" s="61">
        <f>J10</f>
        <v>116.95338397542177</v>
      </c>
      <c r="K15" s="54"/>
    </row>
    <row r="16" spans="1:12" x14ac:dyDescent="0.25">
      <c r="A16" s="41" t="s">
        <v>145</v>
      </c>
      <c r="B16" s="60">
        <f>B11</f>
        <v>11.866816866895148</v>
      </c>
      <c r="C16" s="60">
        <f t="shared" ref="C16:I16" si="5">C11</f>
        <v>0.39938989717318735</v>
      </c>
      <c r="D16" s="60">
        <f t="shared" si="5"/>
        <v>18.856749048522317</v>
      </c>
      <c r="E16" s="60">
        <f t="shared" si="5"/>
        <v>0.25454783271817377</v>
      </c>
      <c r="F16" s="60">
        <f t="shared" si="5"/>
        <v>2.069790815551535</v>
      </c>
      <c r="G16" s="60">
        <f t="shared" si="5"/>
        <v>25.608307958141577</v>
      </c>
      <c r="H16" s="60">
        <f t="shared" si="5"/>
        <v>37.474848719003113</v>
      </c>
      <c r="I16" s="60">
        <f t="shared" si="5"/>
        <v>3.4695488619949479</v>
      </c>
      <c r="J16" s="60">
        <f>J11</f>
        <v>100</v>
      </c>
      <c r="K16" s="54"/>
    </row>
    <row r="17" spans="1:11" x14ac:dyDescent="0.25">
      <c r="A17" s="44"/>
      <c r="B17" s="1"/>
      <c r="C17" s="1"/>
      <c r="D17" s="1"/>
      <c r="E17" s="1"/>
      <c r="F17" s="1"/>
      <c r="G17" s="64"/>
      <c r="H17" s="64"/>
      <c r="I17" s="1"/>
      <c r="J17" s="1"/>
      <c r="K17" s="44"/>
    </row>
    <row r="18" spans="1:11" x14ac:dyDescent="0.25">
      <c r="A18" s="269" t="s">
        <v>134</v>
      </c>
      <c r="B18" s="270"/>
      <c r="C18" s="271"/>
      <c r="D18" s="1"/>
      <c r="E18" s="1"/>
      <c r="F18" s="1"/>
      <c r="G18" s="2"/>
      <c r="H18" s="1"/>
      <c r="I18" s="1"/>
      <c r="J18" s="1"/>
      <c r="K18" s="44"/>
    </row>
    <row r="19" spans="1:11" x14ac:dyDescent="0.25">
      <c r="A19" s="226"/>
      <c r="B19" s="233" t="s">
        <v>40</v>
      </c>
      <c r="C19" s="233" t="s">
        <v>39</v>
      </c>
      <c r="D19" s="1"/>
      <c r="E19" s="1"/>
      <c r="F19" s="1"/>
      <c r="G19" s="1"/>
      <c r="H19" s="1"/>
      <c r="I19" s="65"/>
      <c r="J19" s="1"/>
      <c r="K19" s="44"/>
    </row>
    <row r="20" spans="1:11" x14ac:dyDescent="0.25">
      <c r="A20" s="226" t="s">
        <v>1</v>
      </c>
      <c r="B20" s="60">
        <f t="shared" ref="B20:B26" si="6">J3</f>
        <v>21.033566436000001</v>
      </c>
      <c r="C20" s="60">
        <f>K3</f>
        <v>17.984572759707653</v>
      </c>
      <c r="D20" s="1"/>
      <c r="E20" s="1"/>
      <c r="F20" s="1"/>
      <c r="G20" s="1"/>
      <c r="H20" s="1"/>
      <c r="I20" s="65"/>
      <c r="J20" s="1"/>
      <c r="K20" s="44"/>
    </row>
    <row r="21" spans="1:11" x14ac:dyDescent="0.25">
      <c r="A21" s="226" t="s">
        <v>24</v>
      </c>
      <c r="B21" s="170">
        <f t="shared" si="6"/>
        <v>0.69720523619999997</v>
      </c>
      <c r="C21" s="170">
        <f t="shared" ref="C21:C26" si="7">K4</f>
        <v>0.59613942966072742</v>
      </c>
      <c r="D21" s="44"/>
      <c r="E21" s="44"/>
      <c r="F21" s="44"/>
      <c r="G21" s="44"/>
      <c r="H21" s="44"/>
      <c r="I21" s="55"/>
      <c r="J21" s="44"/>
      <c r="K21" s="44"/>
    </row>
    <row r="22" spans="1:11" x14ac:dyDescent="0.25">
      <c r="A22" s="226" t="s">
        <v>2</v>
      </c>
      <c r="B22" s="170">
        <f t="shared" si="6"/>
        <v>0.21758724000000002</v>
      </c>
      <c r="C22" s="170">
        <f t="shared" si="7"/>
        <v>0.18604612590408401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226" t="s">
        <v>3</v>
      </c>
      <c r="B23" s="170">
        <f t="shared" si="6"/>
        <v>8.0960361479999996</v>
      </c>
      <c r="C23" s="170">
        <f t="shared" si="7"/>
        <v>6.9224471090989672</v>
      </c>
      <c r="D23" s="265" t="s">
        <v>47</v>
      </c>
      <c r="E23" s="265"/>
      <c r="F23" s="44"/>
      <c r="G23" s="44"/>
      <c r="H23" s="44"/>
      <c r="I23" s="44"/>
      <c r="J23" s="44"/>
      <c r="K23" s="44"/>
    </row>
    <row r="24" spans="1:11" x14ac:dyDescent="0.25">
      <c r="A24" s="226" t="s">
        <v>4</v>
      </c>
      <c r="B24" s="170">
        <f t="shared" si="6"/>
        <v>77.55013788642178</v>
      </c>
      <c r="C24" s="170">
        <f t="shared" si="7"/>
        <v>66.308588302771341</v>
      </c>
      <c r="D24" s="233" t="s">
        <v>40</v>
      </c>
      <c r="E24" s="233" t="s">
        <v>39</v>
      </c>
      <c r="F24" s="44"/>
      <c r="G24" s="44"/>
      <c r="H24" s="44"/>
      <c r="I24" s="44"/>
      <c r="J24" s="44"/>
      <c r="K24" s="44"/>
    </row>
    <row r="25" spans="1:11" x14ac:dyDescent="0.25">
      <c r="A25" s="226" t="s">
        <v>19</v>
      </c>
      <c r="B25" s="170">
        <f t="shared" si="6"/>
        <v>0.28550336879999999</v>
      </c>
      <c r="C25" s="170">
        <f t="shared" si="7"/>
        <v>0.24411723636829499</v>
      </c>
      <c r="D25" s="60">
        <f>B24+B25</f>
        <v>77.835641255221773</v>
      </c>
      <c r="E25" s="60">
        <f>C24+C25</f>
        <v>66.552705539139637</v>
      </c>
      <c r="F25" s="44"/>
      <c r="G25" s="44"/>
      <c r="H25" s="44"/>
      <c r="I25" s="44"/>
      <c r="J25" s="44"/>
      <c r="K25" s="44"/>
    </row>
    <row r="26" spans="1:11" s="163" customFormat="1" x14ac:dyDescent="0.25">
      <c r="A26" s="224" t="s">
        <v>167</v>
      </c>
      <c r="B26" s="170">
        <f t="shared" si="6"/>
        <v>9.0733476599999996</v>
      </c>
      <c r="C26" s="170">
        <f t="shared" si="7"/>
        <v>7.7580890364889319</v>
      </c>
      <c r="D26" s="178"/>
      <c r="E26" s="178"/>
    </row>
    <row r="27" spans="1:11" x14ac:dyDescent="0.25">
      <c r="A27" s="226" t="s">
        <v>40</v>
      </c>
      <c r="B27" s="61">
        <f>SUM(B20:B26)</f>
        <v>116.95338397542177</v>
      </c>
      <c r="C27" s="61">
        <f>SUM(C20:C26)</f>
        <v>100</v>
      </c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</sheetData>
  <mergeCells count="4">
    <mergeCell ref="A1:K1"/>
    <mergeCell ref="D23:E23"/>
    <mergeCell ref="A18:C18"/>
    <mergeCell ref="A13:J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18" sqref="A18:C27"/>
    </sheetView>
  </sheetViews>
  <sheetFormatPr defaultRowHeight="15" x14ac:dyDescent="0.25"/>
  <cols>
    <col min="1" max="1" width="11" customWidth="1"/>
    <col min="2" max="2" width="10.42578125" customWidth="1"/>
    <col min="3" max="3" width="10.85546875" bestFit="1" customWidth="1"/>
    <col min="4" max="4" width="8.140625" customWidth="1"/>
    <col min="5" max="5" width="8.5703125" customWidth="1"/>
    <col min="6" max="6" width="7.85546875" customWidth="1"/>
    <col min="7" max="7" width="11.28515625" customWidth="1"/>
    <col min="8" max="8" width="10.5703125" customWidth="1"/>
    <col min="9" max="9" width="11.140625" customWidth="1"/>
    <col min="10" max="10" width="9.28515625" customWidth="1"/>
    <col min="11" max="11" width="12.28515625" bestFit="1" customWidth="1"/>
  </cols>
  <sheetData>
    <row r="1" spans="1:13" x14ac:dyDescent="0.25">
      <c r="A1" s="261" t="s">
        <v>56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76"/>
      <c r="M1" s="39"/>
    </row>
    <row r="2" spans="1:13" x14ac:dyDescent="0.25">
      <c r="A2" s="222"/>
      <c r="B2" s="223" t="s">
        <v>0</v>
      </c>
      <c r="C2" s="216" t="s">
        <v>165</v>
      </c>
      <c r="D2" s="223" t="s">
        <v>5</v>
      </c>
      <c r="E2" s="223" t="s">
        <v>6</v>
      </c>
      <c r="F2" s="223" t="s">
        <v>13</v>
      </c>
      <c r="G2" s="223" t="s">
        <v>8</v>
      </c>
      <c r="H2" s="223" t="s">
        <v>7</v>
      </c>
      <c r="I2" s="223" t="s">
        <v>14</v>
      </c>
      <c r="J2" s="223" t="s">
        <v>11</v>
      </c>
      <c r="K2" s="223" t="s">
        <v>39</v>
      </c>
    </row>
    <row r="3" spans="1:13" x14ac:dyDescent="0.25">
      <c r="A3" s="235" t="s">
        <v>1</v>
      </c>
      <c r="B3" s="68">
        <f>'zużycie całkowite i emisja'!B103</f>
        <v>7.8882532560000005</v>
      </c>
      <c r="C3" s="68">
        <f>'zużycie całkowite i emisja'!C103</f>
        <v>3.4524E-3</v>
      </c>
      <c r="D3" s="68">
        <f>'zużycie całkowite i emisja'!D103</f>
        <v>47.131156799999999</v>
      </c>
      <c r="E3" s="68">
        <f>'zużycie całkowite i emisja'!E103</f>
        <v>3.1873319999999998E-3</v>
      </c>
      <c r="F3" s="68">
        <f>'zużycie całkowite i emisja'!F103</f>
        <v>29.022714720000003</v>
      </c>
      <c r="G3" s="49"/>
      <c r="H3" s="49"/>
      <c r="I3" s="49"/>
      <c r="J3" s="69">
        <f>SUM(B3:I3)</f>
        <v>84.048764508000005</v>
      </c>
      <c r="K3" s="69">
        <f>(J3*100)/$J$10</f>
        <v>57.449878971193634</v>
      </c>
    </row>
    <row r="4" spans="1:13" x14ac:dyDescent="0.25">
      <c r="A4" s="235" t="s">
        <v>24</v>
      </c>
      <c r="B4" s="68">
        <f>'zużycie całkowite i emisja'!B104</f>
        <v>0.57383359200000006</v>
      </c>
      <c r="C4" s="68">
        <f>'zużycie całkowite i emisja'!C104</f>
        <v>0</v>
      </c>
      <c r="D4" s="68">
        <f>'zużycie całkowite i emisja'!D104</f>
        <v>0.77345351999999989</v>
      </c>
      <c r="E4" s="68">
        <f>'zużycie całkowite i emisja'!E104</f>
        <v>9.5713381800000014E-3</v>
      </c>
      <c r="F4" s="68">
        <f>'zużycie całkowite i emisja'!F104</f>
        <v>0.20995200000000003</v>
      </c>
      <c r="G4" s="49"/>
      <c r="H4" s="49"/>
      <c r="I4" s="49"/>
      <c r="J4" s="69">
        <f t="shared" ref="J4:J7" si="0">SUM(B4:I4)</f>
        <v>1.5668104501800002</v>
      </c>
      <c r="K4" s="69">
        <f t="shared" ref="K4:K9" si="1">(J4*100)/$J$10</f>
        <v>1.0709624497225623</v>
      </c>
    </row>
    <row r="5" spans="1:13" x14ac:dyDescent="0.25">
      <c r="A5" s="235" t="s">
        <v>2</v>
      </c>
      <c r="B5" s="68">
        <f>'zużycie całkowite i emisja'!B105</f>
        <v>0.63602424000000002</v>
      </c>
      <c r="C5" s="49"/>
      <c r="D5" s="49"/>
      <c r="E5" s="49"/>
      <c r="F5" s="49"/>
      <c r="G5" s="49"/>
      <c r="H5" s="49"/>
      <c r="I5" s="49"/>
      <c r="J5" s="69">
        <f t="shared" si="0"/>
        <v>0.63602424000000002</v>
      </c>
      <c r="K5" s="69">
        <f t="shared" si="1"/>
        <v>0.43474185283553424</v>
      </c>
    </row>
    <row r="6" spans="1:13" x14ac:dyDescent="0.25">
      <c r="A6" s="235" t="s">
        <v>3</v>
      </c>
      <c r="B6" s="68">
        <f>'zużycie całkowite i emisja'!B106</f>
        <v>4.9481394480000001</v>
      </c>
      <c r="C6" s="68">
        <f>'zużycie całkowite i emisja'!C106</f>
        <v>1.2186000000000002E-3</v>
      </c>
      <c r="D6" s="68">
        <f>'zużycie całkowite i emisja'!D106</f>
        <v>16.559776800000002</v>
      </c>
      <c r="E6" s="68">
        <f>'zużycie całkowite i emisja'!E106</f>
        <v>0</v>
      </c>
      <c r="F6" s="68">
        <f>'zużycie całkowite i emisja'!F106</f>
        <v>9.9825177600000021</v>
      </c>
      <c r="G6" s="49"/>
      <c r="H6" s="49"/>
      <c r="I6" s="49"/>
      <c r="J6" s="69">
        <f t="shared" si="0"/>
        <v>31.491652608000003</v>
      </c>
      <c r="K6" s="69">
        <f t="shared" si="1"/>
        <v>21.525499411240848</v>
      </c>
    </row>
    <row r="7" spans="1:13" x14ac:dyDescent="0.25">
      <c r="A7" s="235" t="s">
        <v>4</v>
      </c>
      <c r="B7" s="49"/>
      <c r="C7" s="49"/>
      <c r="D7" s="49"/>
      <c r="E7" s="49"/>
      <c r="F7" s="49"/>
      <c r="G7" s="212">
        <v>0.55040178135849405</v>
      </c>
      <c r="H7" s="212">
        <v>1.4831030892393122</v>
      </c>
      <c r="I7" s="212">
        <v>0</v>
      </c>
      <c r="J7" s="69">
        <f t="shared" si="0"/>
        <v>2.033504870597806</v>
      </c>
      <c r="K7" s="69">
        <f t="shared" si="1"/>
        <v>1.3899622366496183</v>
      </c>
    </row>
    <row r="8" spans="1:13" x14ac:dyDescent="0.25">
      <c r="A8" s="235" t="s">
        <v>19</v>
      </c>
      <c r="B8" s="49"/>
      <c r="C8" s="49"/>
      <c r="D8" s="49"/>
      <c r="E8" s="49"/>
      <c r="F8" s="49"/>
      <c r="G8" s="212" t="s">
        <v>188</v>
      </c>
      <c r="H8" s="212">
        <v>4.39235952E-4</v>
      </c>
      <c r="I8" s="212" t="s">
        <v>188</v>
      </c>
      <c r="J8" s="69">
        <f>SUM(B8:I8)</f>
        <v>4.39235952E-4</v>
      </c>
      <c r="K8" s="69">
        <f t="shared" si="1"/>
        <v>3.0023109119938542E-4</v>
      </c>
    </row>
    <row r="9" spans="1:13" s="163" customFormat="1" x14ac:dyDescent="0.25">
      <c r="A9" s="224" t="s">
        <v>167</v>
      </c>
      <c r="B9" s="68">
        <f>'zużycie całkowite i emisja'!B109</f>
        <v>26.522093160000001</v>
      </c>
      <c r="C9" s="49"/>
      <c r="D9" s="49"/>
      <c r="E9" s="49"/>
      <c r="F9" s="49"/>
      <c r="G9" s="49"/>
      <c r="H9" s="49"/>
      <c r="I9" s="49"/>
      <c r="J9" s="69">
        <f>SUM(B9:I9)</f>
        <v>26.522093160000001</v>
      </c>
      <c r="K9" s="69">
        <f t="shared" si="1"/>
        <v>18.128654847266592</v>
      </c>
    </row>
    <row r="10" spans="1:13" x14ac:dyDescent="0.25">
      <c r="A10" s="222" t="s">
        <v>11</v>
      </c>
      <c r="B10" s="69">
        <f>SUM(B3:B9)</f>
        <v>40.568343695999999</v>
      </c>
      <c r="C10" s="69">
        <f t="shared" ref="C10:I10" si="2">SUM(C3:C9)</f>
        <v>4.6709999999999998E-3</v>
      </c>
      <c r="D10" s="69">
        <f t="shared" si="2"/>
        <v>64.464387119999998</v>
      </c>
      <c r="E10" s="69">
        <f t="shared" si="2"/>
        <v>1.2758670180000001E-2</v>
      </c>
      <c r="F10" s="69">
        <f t="shared" si="2"/>
        <v>39.215184480000005</v>
      </c>
      <c r="G10" s="69">
        <f t="shared" si="2"/>
        <v>0.55040178135849405</v>
      </c>
      <c r="H10" s="69">
        <f t="shared" si="2"/>
        <v>1.4835423251913122</v>
      </c>
      <c r="I10" s="69">
        <f t="shared" si="2"/>
        <v>0</v>
      </c>
      <c r="J10" s="69">
        <f>SUM(J3:J9)</f>
        <v>146.29928907272983</v>
      </c>
      <c r="K10" s="69"/>
    </row>
    <row r="11" spans="1:13" x14ac:dyDescent="0.25">
      <c r="A11" s="222" t="s">
        <v>39</v>
      </c>
      <c r="B11" s="68">
        <f t="shared" ref="B11:J11" si="3">(B10*100)/$J$10</f>
        <v>27.729692982877204</v>
      </c>
      <c r="C11" s="68">
        <f t="shared" si="3"/>
        <v>3.1927701286900327E-3</v>
      </c>
      <c r="D11" s="68">
        <f t="shared" si="3"/>
        <v>44.063363211527836</v>
      </c>
      <c r="E11" s="68">
        <f t="shared" si="3"/>
        <v>8.7209379217538623E-3</v>
      </c>
      <c r="F11" s="68">
        <f t="shared" si="3"/>
        <v>26.804767629803685</v>
      </c>
      <c r="G11" s="68">
        <f t="shared" si="3"/>
        <v>0.37621630620834562</v>
      </c>
      <c r="H11" s="68">
        <f t="shared" si="3"/>
        <v>1.0140461615324721</v>
      </c>
      <c r="I11" s="68">
        <f t="shared" si="3"/>
        <v>0</v>
      </c>
      <c r="J11" s="68">
        <f t="shared" si="3"/>
        <v>100</v>
      </c>
      <c r="K11" s="52"/>
    </row>
    <row r="12" spans="1:13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3"/>
    </row>
    <row r="13" spans="1:13" ht="15" customHeight="1" x14ac:dyDescent="0.25">
      <c r="A13" s="272" t="s">
        <v>56</v>
      </c>
      <c r="B13" s="273"/>
      <c r="C13" s="273"/>
      <c r="D13" s="273"/>
      <c r="E13" s="273"/>
      <c r="F13" s="273"/>
      <c r="G13" s="273"/>
      <c r="H13" s="273"/>
      <c r="I13" s="273"/>
      <c r="J13" s="274"/>
      <c r="K13" s="80"/>
    </row>
    <row r="14" spans="1:13" ht="29.25" customHeight="1" x14ac:dyDescent="0.25">
      <c r="A14" s="236"/>
      <c r="B14" s="236" t="s">
        <v>0</v>
      </c>
      <c r="C14" s="216" t="s">
        <v>165</v>
      </c>
      <c r="D14" s="236" t="s">
        <v>5</v>
      </c>
      <c r="E14" s="236" t="s">
        <v>6</v>
      </c>
      <c r="F14" s="236" t="s">
        <v>13</v>
      </c>
      <c r="G14" s="236" t="s">
        <v>8</v>
      </c>
      <c r="H14" s="236" t="s">
        <v>7</v>
      </c>
      <c r="I14" s="236" t="s">
        <v>14</v>
      </c>
      <c r="J14" s="237" t="s">
        <v>40</v>
      </c>
      <c r="K14" s="54"/>
    </row>
    <row r="15" spans="1:13" x14ac:dyDescent="0.25">
      <c r="A15" s="45" t="s">
        <v>40</v>
      </c>
      <c r="B15" s="46">
        <f>B10</f>
        <v>40.568343695999999</v>
      </c>
      <c r="C15" s="46">
        <f t="shared" ref="C15" si="4">C10</f>
        <v>4.6709999999999998E-3</v>
      </c>
      <c r="D15" s="46">
        <f t="shared" ref="D15:J16" si="5">D10</f>
        <v>64.464387119999998</v>
      </c>
      <c r="E15" s="46">
        <f t="shared" si="5"/>
        <v>1.2758670180000001E-2</v>
      </c>
      <c r="F15" s="46">
        <f t="shared" si="5"/>
        <v>39.215184480000005</v>
      </c>
      <c r="G15" s="46">
        <f t="shared" si="5"/>
        <v>0.55040178135849405</v>
      </c>
      <c r="H15" s="46">
        <f t="shared" si="5"/>
        <v>1.4835423251913122</v>
      </c>
      <c r="I15" s="46">
        <f t="shared" si="5"/>
        <v>0</v>
      </c>
      <c r="J15" s="46">
        <f t="shared" si="5"/>
        <v>146.29928907272983</v>
      </c>
      <c r="K15" s="54"/>
    </row>
    <row r="16" spans="1:13" x14ac:dyDescent="0.25">
      <c r="A16" s="45" t="s">
        <v>145</v>
      </c>
      <c r="B16" s="47">
        <f t="shared" ref="B16:C16" si="6">B11</f>
        <v>27.729692982877204</v>
      </c>
      <c r="C16" s="47">
        <f t="shared" si="6"/>
        <v>3.1927701286900327E-3</v>
      </c>
      <c r="D16" s="47">
        <f t="shared" si="5"/>
        <v>44.063363211527836</v>
      </c>
      <c r="E16" s="47">
        <f t="shared" si="5"/>
        <v>8.7209379217538623E-3</v>
      </c>
      <c r="F16" s="47">
        <f t="shared" si="5"/>
        <v>26.804767629803685</v>
      </c>
      <c r="G16" s="47">
        <f t="shared" si="5"/>
        <v>0.37621630620834562</v>
      </c>
      <c r="H16" s="47">
        <f t="shared" si="5"/>
        <v>1.0140461615324721</v>
      </c>
      <c r="I16" s="47">
        <f t="shared" si="5"/>
        <v>0</v>
      </c>
      <c r="J16" s="47">
        <f t="shared" si="5"/>
        <v>100</v>
      </c>
      <c r="K16" s="54"/>
    </row>
    <row r="17" spans="1:11" x14ac:dyDescent="0.25">
      <c r="A17" s="51"/>
      <c r="B17" s="51"/>
      <c r="C17" s="51"/>
      <c r="D17" s="51"/>
      <c r="E17" s="51"/>
      <c r="F17" s="51"/>
      <c r="G17" s="17"/>
      <c r="H17" s="17"/>
      <c r="I17" s="51"/>
      <c r="J17" s="51"/>
      <c r="K17" s="43"/>
    </row>
    <row r="18" spans="1:11" x14ac:dyDescent="0.25">
      <c r="A18" s="264" t="s">
        <v>56</v>
      </c>
      <c r="B18" s="264"/>
      <c r="C18" s="264"/>
      <c r="D18" s="51"/>
      <c r="E18" s="51"/>
      <c r="F18" s="51"/>
      <c r="G18" s="48"/>
      <c r="H18" s="51"/>
      <c r="I18" s="51"/>
      <c r="J18" s="51"/>
      <c r="K18" s="43"/>
    </row>
    <row r="19" spans="1:11" x14ac:dyDescent="0.25">
      <c r="A19" s="222"/>
      <c r="B19" s="223" t="s">
        <v>40</v>
      </c>
      <c r="C19" s="223" t="s">
        <v>62</v>
      </c>
      <c r="D19" s="51"/>
      <c r="E19" s="51"/>
      <c r="F19" s="51"/>
      <c r="G19" s="51"/>
      <c r="H19" s="51"/>
      <c r="I19" s="66"/>
      <c r="J19" s="51"/>
      <c r="K19" s="43"/>
    </row>
    <row r="20" spans="1:11" x14ac:dyDescent="0.25">
      <c r="A20" s="222" t="s">
        <v>1</v>
      </c>
      <c r="B20" s="68">
        <f t="shared" ref="B20:C26" si="7">J3</f>
        <v>84.048764508000005</v>
      </c>
      <c r="C20" s="68">
        <f t="shared" si="7"/>
        <v>57.449878971193634</v>
      </c>
      <c r="D20" s="51"/>
      <c r="E20" s="51"/>
      <c r="F20" s="51"/>
      <c r="G20" s="51"/>
      <c r="H20" s="51"/>
      <c r="I20" s="66"/>
      <c r="J20" s="51"/>
      <c r="K20" s="43"/>
    </row>
    <row r="21" spans="1:11" x14ac:dyDescent="0.25">
      <c r="A21" s="222" t="s">
        <v>24</v>
      </c>
      <c r="B21" s="68">
        <f t="shared" si="7"/>
        <v>1.5668104501800002</v>
      </c>
      <c r="C21" s="68">
        <f t="shared" si="7"/>
        <v>1.0709624497225623</v>
      </c>
      <c r="D21" s="51"/>
      <c r="E21" s="51"/>
      <c r="F21" s="51"/>
      <c r="G21" s="51"/>
      <c r="H21" s="51"/>
      <c r="I21" s="31"/>
      <c r="J21" s="51"/>
      <c r="K21" s="43"/>
    </row>
    <row r="22" spans="1:11" x14ac:dyDescent="0.25">
      <c r="A22" s="222" t="s">
        <v>2</v>
      </c>
      <c r="B22" s="68">
        <f t="shared" si="7"/>
        <v>0.63602424000000002</v>
      </c>
      <c r="C22" s="68">
        <f t="shared" si="7"/>
        <v>0.43474185283553424</v>
      </c>
      <c r="D22" s="51"/>
      <c r="E22" s="51"/>
      <c r="F22" s="51"/>
      <c r="G22" s="51"/>
      <c r="H22" s="51"/>
      <c r="I22" s="51"/>
      <c r="J22" s="51"/>
      <c r="K22" s="43"/>
    </row>
    <row r="23" spans="1:11" x14ac:dyDescent="0.25">
      <c r="A23" s="222" t="s">
        <v>3</v>
      </c>
      <c r="B23" s="68">
        <f t="shared" si="7"/>
        <v>31.491652608000003</v>
      </c>
      <c r="C23" s="68">
        <f t="shared" si="7"/>
        <v>21.525499411240848</v>
      </c>
      <c r="D23" s="264" t="s">
        <v>47</v>
      </c>
      <c r="E23" s="264"/>
      <c r="F23" s="30"/>
      <c r="G23" s="30"/>
      <c r="H23" s="30"/>
      <c r="I23" s="30"/>
      <c r="J23" s="30"/>
      <c r="K23" s="8"/>
    </row>
    <row r="24" spans="1:11" x14ac:dyDescent="0.25">
      <c r="A24" s="222" t="s">
        <v>4</v>
      </c>
      <c r="B24" s="68">
        <f t="shared" si="7"/>
        <v>2.033504870597806</v>
      </c>
      <c r="C24" s="68">
        <f t="shared" si="7"/>
        <v>1.3899622366496183</v>
      </c>
      <c r="D24" s="223" t="s">
        <v>40</v>
      </c>
      <c r="E24" s="223" t="s">
        <v>39</v>
      </c>
      <c r="F24" s="30"/>
      <c r="G24" s="30"/>
      <c r="H24" s="30"/>
      <c r="I24" s="30"/>
      <c r="J24" s="30"/>
      <c r="K24" s="8"/>
    </row>
    <row r="25" spans="1:11" x14ac:dyDescent="0.25">
      <c r="A25" s="222" t="s">
        <v>19</v>
      </c>
      <c r="B25" s="68">
        <f t="shared" si="7"/>
        <v>4.39235952E-4</v>
      </c>
      <c r="C25" s="68">
        <f t="shared" si="7"/>
        <v>3.0023109119938542E-4</v>
      </c>
      <c r="D25" s="26">
        <f>B24+B25</f>
        <v>2.0339441065498058</v>
      </c>
      <c r="E25" s="26">
        <f>C24+C25</f>
        <v>1.3902624677408177</v>
      </c>
      <c r="F25" s="30"/>
      <c r="G25" s="30"/>
      <c r="H25" s="30"/>
      <c r="I25" s="30"/>
      <c r="J25" s="30"/>
      <c r="K25" s="8"/>
    </row>
    <row r="26" spans="1:11" s="163" customFormat="1" x14ac:dyDescent="0.25">
      <c r="A26" s="224" t="s">
        <v>167</v>
      </c>
      <c r="B26" s="68">
        <f t="shared" si="7"/>
        <v>26.522093160000001</v>
      </c>
      <c r="C26" s="68">
        <f t="shared" si="7"/>
        <v>18.128654847266592</v>
      </c>
      <c r="D26" s="68"/>
      <c r="E26" s="68"/>
      <c r="F26" s="51"/>
      <c r="G26" s="51"/>
      <c r="H26" s="51"/>
      <c r="I26" s="51"/>
      <c r="J26" s="51"/>
      <c r="K26" s="43"/>
    </row>
    <row r="27" spans="1:11" x14ac:dyDescent="0.25">
      <c r="A27" s="222" t="s">
        <v>40</v>
      </c>
      <c r="B27" s="27">
        <f>SUM(B20:B26)</f>
        <v>146.29928907272983</v>
      </c>
      <c r="C27" s="27">
        <f>SUM(C20:C26)</f>
        <v>100</v>
      </c>
      <c r="D27" s="30"/>
      <c r="E27" s="30"/>
      <c r="F27" s="30"/>
      <c r="G27" s="30"/>
      <c r="H27" s="30"/>
      <c r="I27" s="30"/>
      <c r="J27" s="30"/>
      <c r="K27" s="8"/>
    </row>
  </sheetData>
  <mergeCells count="4">
    <mergeCell ref="A1:K1"/>
    <mergeCell ref="A18:C18"/>
    <mergeCell ref="D23:E23"/>
    <mergeCell ref="A13:J1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3" workbookViewId="0">
      <selection activeCell="A18" sqref="A18:C27"/>
    </sheetView>
  </sheetViews>
  <sheetFormatPr defaultRowHeight="15" x14ac:dyDescent="0.25"/>
  <cols>
    <col min="1" max="1" width="10.140625" customWidth="1"/>
    <col min="2" max="2" width="12.28515625" customWidth="1"/>
    <col min="3" max="3" width="10.85546875" bestFit="1" customWidth="1"/>
    <col min="4" max="4" width="7.140625" bestFit="1" customWidth="1"/>
    <col min="5" max="5" width="12.7109375" bestFit="1" customWidth="1"/>
    <col min="6" max="6" width="7.85546875" bestFit="1" customWidth="1"/>
    <col min="7" max="7" width="11.42578125" customWidth="1"/>
    <col min="8" max="8" width="10.85546875" customWidth="1"/>
    <col min="9" max="9" width="14.140625" bestFit="1" customWidth="1"/>
    <col min="10" max="10" width="12.42578125" bestFit="1" customWidth="1"/>
    <col min="11" max="11" width="12.28515625" bestFit="1" customWidth="1"/>
  </cols>
  <sheetData>
    <row r="1" spans="1:13" x14ac:dyDescent="0.25">
      <c r="A1" s="261" t="s">
        <v>55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78"/>
      <c r="M1" s="39"/>
    </row>
    <row r="2" spans="1:13" x14ac:dyDescent="0.25">
      <c r="A2" s="222"/>
      <c r="B2" s="223" t="s">
        <v>0</v>
      </c>
      <c r="C2" s="216" t="s">
        <v>165</v>
      </c>
      <c r="D2" s="223" t="s">
        <v>5</v>
      </c>
      <c r="E2" s="223" t="s">
        <v>6</v>
      </c>
      <c r="F2" s="223" t="s">
        <v>13</v>
      </c>
      <c r="G2" s="223" t="s">
        <v>8</v>
      </c>
      <c r="H2" s="223" t="s">
        <v>7</v>
      </c>
      <c r="I2" s="223" t="s">
        <v>14</v>
      </c>
      <c r="J2" s="223" t="s">
        <v>11</v>
      </c>
      <c r="K2" s="223" t="s">
        <v>39</v>
      </c>
    </row>
    <row r="3" spans="1:13" x14ac:dyDescent="0.25">
      <c r="A3" s="235" t="s">
        <v>1</v>
      </c>
      <c r="B3" s="68">
        <f>'zużycie całkowite i emisja'!B121</f>
        <v>7.4730820319999998</v>
      </c>
      <c r="C3" s="68">
        <f>'zużycie całkowite i emisja'!C121</f>
        <v>3.4524E-3</v>
      </c>
      <c r="D3" s="68">
        <f>'zużycie całkowite i emisja'!D121</f>
        <v>44.650569600000004</v>
      </c>
      <c r="E3" s="68">
        <f>'zużycie całkowite i emisja'!E121</f>
        <v>3.1873319999999998E-3</v>
      </c>
      <c r="F3" s="68">
        <f>'zużycie całkowite i emisja'!F121</f>
        <v>29.022714720000003</v>
      </c>
      <c r="G3" s="49"/>
      <c r="H3" s="49"/>
      <c r="I3" s="49"/>
      <c r="J3" s="69">
        <f>SUM(B3:I3)</f>
        <v>81.153006084000012</v>
      </c>
      <c r="K3" s="69">
        <f>(J3*100)/$J$10</f>
        <v>57.648849273608263</v>
      </c>
    </row>
    <row r="4" spans="1:13" x14ac:dyDescent="0.25">
      <c r="A4" s="235" t="s">
        <v>24</v>
      </c>
      <c r="B4" s="68">
        <f>'zużycie całkowite i emisja'!B122</f>
        <v>0.54363182399999999</v>
      </c>
      <c r="C4" s="68">
        <f>'zużycie całkowite i emisja'!C122</f>
        <v>0</v>
      </c>
      <c r="D4" s="68">
        <f>'zużycie całkowite i emisja'!D122</f>
        <v>0.73274543999999997</v>
      </c>
      <c r="E4" s="68">
        <f>'zużycie całkowite i emisja'!E122</f>
        <v>9.5713381800000014E-3</v>
      </c>
      <c r="F4" s="68">
        <f>'zużycie całkowite i emisja'!F122</f>
        <v>0.20995200000000003</v>
      </c>
      <c r="G4" s="49"/>
      <c r="H4" s="49"/>
      <c r="I4" s="49"/>
      <c r="J4" s="69">
        <f t="shared" ref="J4:J9" si="0">SUM(B4:I4)</f>
        <v>1.4959006021799999</v>
      </c>
      <c r="K4" s="69">
        <f t="shared" ref="K4:K9" si="1">(J4*100)/$J$10</f>
        <v>1.0626463824902845</v>
      </c>
    </row>
    <row r="5" spans="1:13" x14ac:dyDescent="0.25">
      <c r="A5" s="235" t="s">
        <v>2</v>
      </c>
      <c r="B5" s="68">
        <f>'zużycie całkowite i emisja'!B123</f>
        <v>0.60254928000000008</v>
      </c>
      <c r="C5" s="49"/>
      <c r="D5" s="49"/>
      <c r="E5" s="49"/>
      <c r="F5" s="49"/>
      <c r="G5" s="49"/>
      <c r="H5" s="49"/>
      <c r="I5" s="49"/>
      <c r="J5" s="69">
        <f t="shared" si="0"/>
        <v>0.60254928000000008</v>
      </c>
      <c r="K5" s="69">
        <f t="shared" si="1"/>
        <v>0.42803433044348721</v>
      </c>
    </row>
    <row r="6" spans="1:13" x14ac:dyDescent="0.25">
      <c r="A6" s="235" t="s">
        <v>3</v>
      </c>
      <c r="B6" s="68">
        <f>'zużycie całkowite i emisja'!B124</f>
        <v>4.6877110559999995</v>
      </c>
      <c r="C6" s="68">
        <f>'zużycie całkowite i emisja'!C124</f>
        <v>1.2186000000000002E-3</v>
      </c>
      <c r="D6" s="68">
        <f>'zużycie całkowite i emisja'!D124</f>
        <v>15.6882096</v>
      </c>
      <c r="E6" s="68">
        <f>'zużycie całkowite i emisja'!E124</f>
        <v>0</v>
      </c>
      <c r="F6" s="68">
        <f>'zużycie całkowite i emisja'!F124</f>
        <v>9.9825177600000021</v>
      </c>
      <c r="G6" s="49"/>
      <c r="H6" s="49"/>
      <c r="I6" s="49"/>
      <c r="J6" s="69">
        <f>SUM(B6:I6)</f>
        <v>30.359657016</v>
      </c>
      <c r="K6" s="69">
        <f t="shared" si="1"/>
        <v>21.56666001382904</v>
      </c>
    </row>
    <row r="7" spans="1:13" x14ac:dyDescent="0.25">
      <c r="A7" s="235" t="s">
        <v>4</v>
      </c>
      <c r="B7" s="49"/>
      <c r="C7" s="49"/>
      <c r="D7" s="49"/>
      <c r="E7" s="49"/>
      <c r="F7" s="49"/>
      <c r="G7" s="213">
        <v>0.55040178135849405</v>
      </c>
      <c r="H7" s="213">
        <v>1.4831030892393122</v>
      </c>
      <c r="I7" s="213">
        <v>0</v>
      </c>
      <c r="J7" s="69">
        <f t="shared" si="0"/>
        <v>2.033504870597806</v>
      </c>
      <c r="K7" s="69">
        <f t="shared" si="1"/>
        <v>1.4445455743302886</v>
      </c>
    </row>
    <row r="8" spans="1:13" x14ac:dyDescent="0.25">
      <c r="A8" s="235" t="s">
        <v>19</v>
      </c>
      <c r="B8" s="49"/>
      <c r="C8" s="49"/>
      <c r="D8" s="49"/>
      <c r="E8" s="49"/>
      <c r="F8" s="49"/>
      <c r="G8" s="213" t="s">
        <v>188</v>
      </c>
      <c r="H8" s="213">
        <v>4.39235952E-4</v>
      </c>
      <c r="I8" s="213" t="s">
        <v>188</v>
      </c>
      <c r="J8" s="69">
        <f t="shared" si="0"/>
        <v>4.39235952E-4</v>
      </c>
      <c r="K8" s="69">
        <f t="shared" si="1"/>
        <v>3.1202106261089162E-4</v>
      </c>
    </row>
    <row r="9" spans="1:13" s="163" customFormat="1" x14ac:dyDescent="0.25">
      <c r="A9" s="224" t="s">
        <v>167</v>
      </c>
      <c r="B9" s="68">
        <f>'zużycie całkowite i emisja'!B127</f>
        <v>25.126193520000001</v>
      </c>
      <c r="C9" s="49"/>
      <c r="D9" s="49"/>
      <c r="E9" s="49"/>
      <c r="F9" s="49"/>
      <c r="G9" s="49"/>
      <c r="H9" s="49"/>
      <c r="I9" s="49"/>
      <c r="J9" s="69">
        <f t="shared" si="0"/>
        <v>25.126193520000001</v>
      </c>
      <c r="K9" s="69">
        <f t="shared" si="1"/>
        <v>17.848952404236027</v>
      </c>
    </row>
    <row r="10" spans="1:13" x14ac:dyDescent="0.25">
      <c r="A10" s="222" t="s">
        <v>11</v>
      </c>
      <c r="B10" s="69">
        <f>SUM(B3:B9)</f>
        <v>38.433167711999999</v>
      </c>
      <c r="C10" s="69">
        <f t="shared" ref="C10:I10" si="2">SUM(C3:C9)</f>
        <v>4.6709999999999998E-3</v>
      </c>
      <c r="D10" s="69">
        <f t="shared" si="2"/>
        <v>61.071524640000007</v>
      </c>
      <c r="E10" s="69">
        <f t="shared" si="2"/>
        <v>1.2758670180000001E-2</v>
      </c>
      <c r="F10" s="69">
        <f t="shared" si="2"/>
        <v>39.215184480000005</v>
      </c>
      <c r="G10" s="69">
        <f t="shared" si="2"/>
        <v>0.55040178135849405</v>
      </c>
      <c r="H10" s="69">
        <f t="shared" si="2"/>
        <v>1.4835423251913122</v>
      </c>
      <c r="I10" s="69">
        <f t="shared" si="2"/>
        <v>0</v>
      </c>
      <c r="J10" s="69">
        <f>SUM(J3:J9)</f>
        <v>140.77125060872982</v>
      </c>
      <c r="K10" s="69"/>
    </row>
    <row r="11" spans="1:13" x14ac:dyDescent="0.25">
      <c r="A11" s="222" t="s">
        <v>39</v>
      </c>
      <c r="B11" s="68">
        <f t="shared" ref="B11:J11" si="3">(B10*100)/$J$10</f>
        <v>27.30185854413131</v>
      </c>
      <c r="C11" s="68">
        <f t="shared" si="3"/>
        <v>3.3181491105615931E-3</v>
      </c>
      <c r="D11" s="68">
        <f t="shared" si="3"/>
        <v>43.383520694681323</v>
      </c>
      <c r="E11" s="68">
        <f t="shared" si="3"/>
        <v>9.0634061463745925E-3</v>
      </c>
      <c r="F11" s="68">
        <f t="shared" si="3"/>
        <v>27.857381610537534</v>
      </c>
      <c r="G11" s="68">
        <f t="shared" si="3"/>
        <v>0.39099019080843578</v>
      </c>
      <c r="H11" s="68">
        <f t="shared" si="3"/>
        <v>1.0538674045844638</v>
      </c>
      <c r="I11" s="68">
        <f t="shared" si="3"/>
        <v>0</v>
      </c>
      <c r="J11" s="68">
        <f t="shared" si="3"/>
        <v>100</v>
      </c>
      <c r="K11" s="52"/>
    </row>
    <row r="12" spans="1:13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3"/>
    </row>
    <row r="13" spans="1:13" ht="15" customHeight="1" x14ac:dyDescent="0.25">
      <c r="A13" s="272" t="s">
        <v>55</v>
      </c>
      <c r="B13" s="273"/>
      <c r="C13" s="273"/>
      <c r="D13" s="273"/>
      <c r="E13" s="273"/>
      <c r="F13" s="273"/>
      <c r="G13" s="273"/>
      <c r="H13" s="273"/>
      <c r="I13" s="273"/>
      <c r="J13" s="274"/>
      <c r="K13" s="80"/>
    </row>
    <row r="14" spans="1:13" ht="27.75" customHeight="1" x14ac:dyDescent="0.25">
      <c r="A14" s="236"/>
      <c r="B14" s="236" t="s">
        <v>0</v>
      </c>
      <c r="C14" s="216" t="s">
        <v>165</v>
      </c>
      <c r="D14" s="236" t="s">
        <v>5</v>
      </c>
      <c r="E14" s="236" t="s">
        <v>6</v>
      </c>
      <c r="F14" s="236" t="s">
        <v>13</v>
      </c>
      <c r="G14" s="236" t="s">
        <v>8</v>
      </c>
      <c r="H14" s="236" t="s">
        <v>7</v>
      </c>
      <c r="I14" s="236" t="s">
        <v>14</v>
      </c>
      <c r="J14" s="237" t="s">
        <v>40</v>
      </c>
      <c r="K14" s="54"/>
    </row>
    <row r="15" spans="1:13" x14ac:dyDescent="0.25">
      <c r="A15" s="45" t="s">
        <v>40</v>
      </c>
      <c r="B15" s="46">
        <f t="shared" ref="B15:C15" si="4">B10</f>
        <v>38.433167711999999</v>
      </c>
      <c r="C15" s="46">
        <f t="shared" si="4"/>
        <v>4.6709999999999998E-3</v>
      </c>
      <c r="D15" s="46">
        <f t="shared" ref="D15:J16" si="5">D10</f>
        <v>61.071524640000007</v>
      </c>
      <c r="E15" s="46">
        <f t="shared" si="5"/>
        <v>1.2758670180000001E-2</v>
      </c>
      <c r="F15" s="46">
        <f t="shared" si="5"/>
        <v>39.215184480000005</v>
      </c>
      <c r="G15" s="46">
        <f t="shared" si="5"/>
        <v>0.55040178135849405</v>
      </c>
      <c r="H15" s="46">
        <f t="shared" si="5"/>
        <v>1.4835423251913122</v>
      </c>
      <c r="I15" s="46">
        <f t="shared" si="5"/>
        <v>0</v>
      </c>
      <c r="J15" s="46">
        <f t="shared" si="5"/>
        <v>140.77125060872982</v>
      </c>
      <c r="K15" s="54"/>
    </row>
    <row r="16" spans="1:13" x14ac:dyDescent="0.25">
      <c r="A16" s="45" t="s">
        <v>145</v>
      </c>
      <c r="B16" s="47">
        <f t="shared" ref="B16:C16" si="6">B11</f>
        <v>27.30185854413131</v>
      </c>
      <c r="C16" s="47">
        <f t="shared" si="6"/>
        <v>3.3181491105615931E-3</v>
      </c>
      <c r="D16" s="47">
        <f t="shared" si="5"/>
        <v>43.383520694681323</v>
      </c>
      <c r="E16" s="47">
        <f t="shared" si="5"/>
        <v>9.0634061463745925E-3</v>
      </c>
      <c r="F16" s="47">
        <f t="shared" si="5"/>
        <v>27.857381610537534</v>
      </c>
      <c r="G16" s="47">
        <f t="shared" si="5"/>
        <v>0.39099019080843578</v>
      </c>
      <c r="H16" s="47">
        <f t="shared" si="5"/>
        <v>1.0538674045844638</v>
      </c>
      <c r="I16" s="47">
        <f t="shared" si="5"/>
        <v>0</v>
      </c>
      <c r="J16" s="47">
        <f t="shared" si="5"/>
        <v>100</v>
      </c>
      <c r="K16" s="54"/>
    </row>
    <row r="17" spans="1:11" x14ac:dyDescent="0.25">
      <c r="A17" s="51"/>
      <c r="B17" s="51"/>
      <c r="C17" s="51"/>
      <c r="D17" s="51"/>
      <c r="E17" s="51"/>
      <c r="F17" s="51"/>
      <c r="G17" s="17"/>
      <c r="H17" s="17"/>
      <c r="I17" s="51"/>
      <c r="J17" s="51"/>
      <c r="K17" s="43"/>
    </row>
    <row r="18" spans="1:11" x14ac:dyDescent="0.25">
      <c r="A18" s="264" t="s">
        <v>55</v>
      </c>
      <c r="B18" s="264"/>
      <c r="C18" s="264"/>
      <c r="D18" s="51"/>
      <c r="E18" s="51"/>
      <c r="F18" s="51"/>
      <c r="G18" s="48"/>
      <c r="H18" s="51"/>
      <c r="I18" s="51"/>
      <c r="J18" s="51"/>
      <c r="K18" s="43"/>
    </row>
    <row r="19" spans="1:11" x14ac:dyDescent="0.25">
      <c r="A19" s="222"/>
      <c r="B19" s="223" t="s">
        <v>40</v>
      </c>
      <c r="C19" s="223" t="s">
        <v>62</v>
      </c>
      <c r="D19" s="51"/>
      <c r="E19" s="51"/>
      <c r="F19" s="51"/>
      <c r="G19" s="51"/>
      <c r="H19" s="51"/>
      <c r="I19" s="66"/>
      <c r="J19" s="51"/>
      <c r="K19" s="43"/>
    </row>
    <row r="20" spans="1:11" x14ac:dyDescent="0.25">
      <c r="A20" s="222" t="s">
        <v>1</v>
      </c>
      <c r="B20" s="68">
        <f t="shared" ref="B20:C26" si="7">J3</f>
        <v>81.153006084000012</v>
      </c>
      <c r="C20" s="68">
        <f t="shared" si="7"/>
        <v>57.648849273608263</v>
      </c>
      <c r="D20" s="51"/>
      <c r="E20" s="51"/>
      <c r="F20" s="51"/>
      <c r="G20" s="51"/>
      <c r="H20" s="51"/>
      <c r="I20" s="66"/>
      <c r="J20" s="51"/>
      <c r="K20" s="43"/>
    </row>
    <row r="21" spans="1:11" x14ac:dyDescent="0.25">
      <c r="A21" s="222" t="s">
        <v>24</v>
      </c>
      <c r="B21" s="68">
        <f t="shared" si="7"/>
        <v>1.4959006021799999</v>
      </c>
      <c r="C21" s="68">
        <f t="shared" si="7"/>
        <v>1.0626463824902845</v>
      </c>
      <c r="D21" s="51"/>
      <c r="E21" s="51"/>
      <c r="F21" s="51"/>
      <c r="G21" s="51"/>
      <c r="H21" s="51"/>
      <c r="I21" s="31"/>
      <c r="J21" s="51"/>
      <c r="K21" s="43"/>
    </row>
    <row r="22" spans="1:11" x14ac:dyDescent="0.25">
      <c r="A22" s="222" t="s">
        <v>2</v>
      </c>
      <c r="B22" s="68">
        <f t="shared" si="7"/>
        <v>0.60254928000000008</v>
      </c>
      <c r="C22" s="68">
        <f t="shared" si="7"/>
        <v>0.42803433044348721</v>
      </c>
      <c r="D22" s="51"/>
      <c r="E22" s="51"/>
      <c r="F22" s="51"/>
      <c r="G22" s="51"/>
      <c r="H22" s="51"/>
      <c r="I22" s="51"/>
      <c r="J22" s="51"/>
      <c r="K22" s="43"/>
    </row>
    <row r="23" spans="1:11" x14ac:dyDescent="0.25">
      <c r="A23" s="222" t="s">
        <v>3</v>
      </c>
      <c r="B23" s="68">
        <f t="shared" si="7"/>
        <v>30.359657016</v>
      </c>
      <c r="C23" s="68">
        <f t="shared" si="7"/>
        <v>21.56666001382904</v>
      </c>
      <c r="D23" s="264" t="s">
        <v>47</v>
      </c>
      <c r="E23" s="264"/>
      <c r="F23" s="30"/>
      <c r="G23" s="30"/>
      <c r="H23" s="30"/>
      <c r="I23" s="30"/>
      <c r="J23" s="30"/>
      <c r="K23" s="8"/>
    </row>
    <row r="24" spans="1:11" x14ac:dyDescent="0.25">
      <c r="A24" s="222" t="s">
        <v>4</v>
      </c>
      <c r="B24" s="68">
        <f t="shared" si="7"/>
        <v>2.033504870597806</v>
      </c>
      <c r="C24" s="68">
        <f t="shared" si="7"/>
        <v>1.4445455743302886</v>
      </c>
      <c r="D24" s="223" t="s">
        <v>40</v>
      </c>
      <c r="E24" s="223" t="s">
        <v>39</v>
      </c>
      <c r="F24" s="30"/>
      <c r="G24" s="30"/>
      <c r="H24" s="30"/>
      <c r="I24" s="30"/>
      <c r="J24" s="30"/>
      <c r="K24" s="8"/>
    </row>
    <row r="25" spans="1:11" x14ac:dyDescent="0.25">
      <c r="A25" s="222" t="s">
        <v>19</v>
      </c>
      <c r="B25" s="68">
        <f t="shared" si="7"/>
        <v>4.39235952E-4</v>
      </c>
      <c r="C25" s="68">
        <f t="shared" si="7"/>
        <v>3.1202106261089162E-4</v>
      </c>
      <c r="D25" s="26">
        <f>B24+B25</f>
        <v>2.0339441065498058</v>
      </c>
      <c r="E25" s="26">
        <f>C24+C25</f>
        <v>1.4448575953928995</v>
      </c>
      <c r="F25" s="30"/>
      <c r="G25" s="30"/>
      <c r="H25" s="30"/>
      <c r="I25" s="30"/>
      <c r="J25" s="30"/>
      <c r="K25" s="8"/>
    </row>
    <row r="26" spans="1:11" s="163" customFormat="1" x14ac:dyDescent="0.25">
      <c r="A26" s="224" t="s">
        <v>167</v>
      </c>
      <c r="B26" s="68">
        <f t="shared" si="7"/>
        <v>25.126193520000001</v>
      </c>
      <c r="C26" s="68">
        <f>K9</f>
        <v>17.848952404236027</v>
      </c>
      <c r="D26" s="68"/>
      <c r="E26" s="68"/>
      <c r="F26" s="51"/>
      <c r="G26" s="51"/>
      <c r="H26" s="51"/>
      <c r="I26" s="51"/>
      <c r="J26" s="51"/>
      <c r="K26" s="43"/>
    </row>
    <row r="27" spans="1:11" x14ac:dyDescent="0.25">
      <c r="A27" s="222" t="s">
        <v>40</v>
      </c>
      <c r="B27" s="27">
        <f>SUM(B20:B26)</f>
        <v>140.77125060872982</v>
      </c>
      <c r="C27" s="27">
        <f>SUM(C20:C26)</f>
        <v>100.00000000000001</v>
      </c>
      <c r="D27" s="30"/>
      <c r="E27" s="30"/>
      <c r="F27" s="30"/>
      <c r="G27" s="30"/>
      <c r="H27" s="30"/>
      <c r="I27" s="30"/>
      <c r="J27" s="30"/>
      <c r="K27" s="8"/>
    </row>
  </sheetData>
  <mergeCells count="4">
    <mergeCell ref="A1:K1"/>
    <mergeCell ref="A18:C18"/>
    <mergeCell ref="D23:E23"/>
    <mergeCell ref="A13:J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workbookViewId="0">
      <selection activeCell="A66" sqref="A66:C75"/>
    </sheetView>
  </sheetViews>
  <sheetFormatPr defaultRowHeight="15" x14ac:dyDescent="0.25"/>
  <cols>
    <col min="1" max="1" width="13.5703125" customWidth="1"/>
    <col min="2" max="2" width="14.7109375" customWidth="1"/>
    <col min="3" max="3" width="12.42578125" bestFit="1" customWidth="1"/>
    <col min="4" max="4" width="10.5703125" customWidth="1"/>
    <col min="5" max="5" width="12.28515625" bestFit="1" customWidth="1"/>
    <col min="6" max="6" width="12.42578125" bestFit="1" customWidth="1"/>
    <col min="7" max="7" width="12.5703125" customWidth="1"/>
    <col min="8" max="8" width="10" customWidth="1"/>
    <col min="9" max="9" width="8" customWidth="1"/>
    <col min="10" max="10" width="12.42578125" bestFit="1" customWidth="1"/>
    <col min="11" max="11" width="12.28515625" bestFit="1" customWidth="1"/>
  </cols>
  <sheetData>
    <row r="1" spans="1:13" x14ac:dyDescent="0.25">
      <c r="A1" s="261" t="s">
        <v>57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78"/>
      <c r="M1" s="39"/>
    </row>
    <row r="2" spans="1:13" x14ac:dyDescent="0.25">
      <c r="A2" s="222"/>
      <c r="B2" s="223" t="s">
        <v>0</v>
      </c>
      <c r="C2" s="216" t="s">
        <v>165</v>
      </c>
      <c r="D2" s="223" t="s">
        <v>5</v>
      </c>
      <c r="E2" s="223" t="s">
        <v>6</v>
      </c>
      <c r="F2" s="223" t="s">
        <v>13</v>
      </c>
      <c r="G2" s="223" t="s">
        <v>8</v>
      </c>
      <c r="H2" s="223" t="s">
        <v>7</v>
      </c>
      <c r="I2" s="223" t="s">
        <v>14</v>
      </c>
      <c r="J2" s="223" t="s">
        <v>11</v>
      </c>
      <c r="K2" s="223" t="s">
        <v>39</v>
      </c>
      <c r="M2" s="5"/>
    </row>
    <row r="3" spans="1:13" x14ac:dyDescent="0.25">
      <c r="A3" s="222" t="s">
        <v>1</v>
      </c>
      <c r="B3" s="70">
        <f>'zużycie całkowite i emisja'!B139</f>
        <v>5.604811524E-3</v>
      </c>
      <c r="C3" s="70">
        <f>'zużycie całkowite i emisja'!C139</f>
        <v>0</v>
      </c>
      <c r="D3" s="70">
        <f>'zużycie całkowite i emisja'!D139</f>
        <v>3.3487927199999996E-2</v>
      </c>
      <c r="E3" s="70">
        <f>'zużycie całkowite i emisja'!E139</f>
        <v>1.0624439999999999E-5</v>
      </c>
      <c r="F3" s="70">
        <f>'zużycie całkowite i emisja'!F139</f>
        <v>8.9576280000000005E-3</v>
      </c>
      <c r="G3" s="50"/>
      <c r="H3" s="50"/>
      <c r="I3" s="50"/>
      <c r="J3" s="71">
        <f>SUM(B3:I3)</f>
        <v>4.8060991163999998E-2</v>
      </c>
      <c r="K3" s="69">
        <f>(J3*100)/$J$10</f>
        <v>55.293886864087199</v>
      </c>
      <c r="M3" s="5"/>
    </row>
    <row r="4" spans="1:13" x14ac:dyDescent="0.25">
      <c r="A4" s="222" t="s">
        <v>24</v>
      </c>
      <c r="B4" s="70">
        <f>'zużycie całkowite i emisja'!B140</f>
        <v>4.0772386800000003E-4</v>
      </c>
      <c r="C4" s="70">
        <f>'zużycie całkowite i emisja'!C140</f>
        <v>0</v>
      </c>
      <c r="D4" s="70">
        <f>'zużycie całkowite i emisja'!D140</f>
        <v>5.4955907999999993E-4</v>
      </c>
      <c r="E4" s="70">
        <f>'zużycie całkowite i emisja'!E140</f>
        <v>3.1904460599999999E-5</v>
      </c>
      <c r="F4" s="70">
        <f>'zużycie całkowite i emisja'!F140</f>
        <v>6.4800000000000017E-5</v>
      </c>
      <c r="G4" s="49"/>
      <c r="H4" s="49"/>
      <c r="I4" s="49"/>
      <c r="J4" s="71">
        <f>SUM(B4:I4)</f>
        <v>1.0539874085999999E-3</v>
      </c>
      <c r="K4" s="69">
        <f t="shared" ref="K4:K9" si="0">(J4*100)/$J$10</f>
        <v>1.2126062970368925</v>
      </c>
      <c r="M4" s="5"/>
    </row>
    <row r="5" spans="1:13" x14ac:dyDescent="0.25">
      <c r="A5" s="222" t="s">
        <v>2</v>
      </c>
      <c r="B5" s="70">
        <f>'zużycie całkowite i emisja'!B141</f>
        <v>4.5191196E-4</v>
      </c>
      <c r="C5" s="50"/>
      <c r="D5" s="50"/>
      <c r="E5" s="50"/>
      <c r="F5" s="50"/>
      <c r="G5" s="50"/>
      <c r="H5" s="50"/>
      <c r="I5" s="50"/>
      <c r="J5" s="71">
        <f t="shared" ref="J5:J8" si="1">SUM(B5:I5)</f>
        <v>4.5191196E-4</v>
      </c>
      <c r="K5" s="69">
        <f t="shared" si="0"/>
        <v>0.51992204454337376</v>
      </c>
      <c r="M5" s="5"/>
    </row>
    <row r="6" spans="1:13" x14ac:dyDescent="0.25">
      <c r="A6" s="222" t="s">
        <v>3</v>
      </c>
      <c r="B6" s="70">
        <f>'zużycie całkowite i emisja'!B142</f>
        <v>3.5157832919999999E-3</v>
      </c>
      <c r="C6" s="70">
        <f>'zużycie całkowite i emisja'!C142</f>
        <v>0</v>
      </c>
      <c r="D6" s="70">
        <f>'zużycie całkowite i emisja'!D142</f>
        <v>1.1766157199999999E-2</v>
      </c>
      <c r="E6" s="70">
        <f>'zużycie całkowite i emisja'!E142</f>
        <v>0</v>
      </c>
      <c r="F6" s="70">
        <f>'zużycie całkowite i emisja'!F142</f>
        <v>3.0810240000000003E-3</v>
      </c>
      <c r="G6" s="50"/>
      <c r="H6" s="50"/>
      <c r="I6" s="50"/>
      <c r="J6" s="71">
        <f>SUM(B6:I6)</f>
        <v>1.8362964491999999E-2</v>
      </c>
      <c r="K6" s="69">
        <f t="shared" si="0"/>
        <v>21.126482340848014</v>
      </c>
      <c r="M6" s="5"/>
    </row>
    <row r="7" spans="1:13" x14ac:dyDescent="0.25">
      <c r="A7" s="222" t="s">
        <v>4</v>
      </c>
      <c r="B7" s="50"/>
      <c r="C7" s="50"/>
      <c r="D7" s="50"/>
      <c r="E7" s="50"/>
      <c r="F7" s="50"/>
      <c r="G7" s="214">
        <v>1.2102895365126351E-5</v>
      </c>
      <c r="H7" s="214">
        <v>1.3145347316543103E-4</v>
      </c>
      <c r="I7" s="214">
        <v>0</v>
      </c>
      <c r="J7" s="71">
        <f t="shared" si="1"/>
        <v>1.435563685305574E-4</v>
      </c>
      <c r="K7" s="69">
        <f t="shared" si="0"/>
        <v>0.165160755279921</v>
      </c>
      <c r="M7" s="5"/>
    </row>
    <row r="8" spans="1:13" x14ac:dyDescent="0.25">
      <c r="A8" s="222" t="s">
        <v>19</v>
      </c>
      <c r="B8" s="50"/>
      <c r="C8" s="50"/>
      <c r="D8" s="50"/>
      <c r="E8" s="50"/>
      <c r="F8" s="50"/>
      <c r="G8" s="214" t="s">
        <v>188</v>
      </c>
      <c r="H8" s="214">
        <v>1.1200516775999998E-6</v>
      </c>
      <c r="I8" s="214" t="s">
        <v>188</v>
      </c>
      <c r="J8" s="71">
        <f t="shared" si="1"/>
        <v>1.1200516775999998E-6</v>
      </c>
      <c r="K8" s="69">
        <f t="shared" si="0"/>
        <v>1.2886128488655791E-3</v>
      </c>
      <c r="M8" s="5"/>
    </row>
    <row r="9" spans="1:13" s="163" customFormat="1" x14ac:dyDescent="0.25">
      <c r="A9" s="222" t="s">
        <v>167</v>
      </c>
      <c r="B9" s="70">
        <f>'zużycie całkowite i emisja'!B145</f>
        <v>1.8844645140000001E-2</v>
      </c>
      <c r="C9" s="50"/>
      <c r="D9" s="50"/>
      <c r="E9" s="50"/>
      <c r="F9" s="50"/>
      <c r="G9" s="50"/>
      <c r="H9" s="50"/>
      <c r="I9" s="50"/>
      <c r="J9" s="71">
        <f>SUM(B9:I9)</f>
        <v>1.8844645140000001E-2</v>
      </c>
      <c r="K9" s="69">
        <f t="shared" si="0"/>
        <v>21.680653085355722</v>
      </c>
      <c r="M9" s="5"/>
    </row>
    <row r="10" spans="1:13" x14ac:dyDescent="0.25">
      <c r="A10" s="222" t="s">
        <v>11</v>
      </c>
      <c r="B10" s="71">
        <f>SUM(B3:B9)</f>
        <v>2.8824875784E-2</v>
      </c>
      <c r="C10" s="71">
        <f>SUM(C3:C9)</f>
        <v>0</v>
      </c>
      <c r="D10" s="71">
        <f t="shared" ref="D10:H10" si="2">SUM(D3:D9)</f>
        <v>4.5803643479999989E-2</v>
      </c>
      <c r="E10" s="71">
        <f t="shared" si="2"/>
        <v>4.2528900599999995E-5</v>
      </c>
      <c r="F10" s="71">
        <f t="shared" si="2"/>
        <v>1.2103452000000001E-2</v>
      </c>
      <c r="G10" s="71">
        <f t="shared" si="2"/>
        <v>1.2102895365126351E-5</v>
      </c>
      <c r="H10" s="71">
        <f t="shared" si="2"/>
        <v>1.3257352484303102E-4</v>
      </c>
      <c r="I10" s="71">
        <f>SUM(I3:I9)</f>
        <v>0</v>
      </c>
      <c r="J10" s="71">
        <f>SUM(J3:J9)</f>
        <v>8.6919176584808161E-2</v>
      </c>
      <c r="K10" s="69"/>
      <c r="M10" s="5"/>
    </row>
    <row r="11" spans="1:13" x14ac:dyDescent="0.25">
      <c r="A11" s="222" t="s">
        <v>39</v>
      </c>
      <c r="B11" s="68">
        <f t="shared" ref="B11:J11" si="3">(B10*100)/$J$10</f>
        <v>33.162849576554834</v>
      </c>
      <c r="C11" s="68">
        <f t="shared" si="3"/>
        <v>0</v>
      </c>
      <c r="D11" s="68">
        <f t="shared" si="3"/>
        <v>52.696821667780966</v>
      </c>
      <c r="E11" s="68">
        <f t="shared" si="3"/>
        <v>4.8929249299208437E-2</v>
      </c>
      <c r="F11" s="68">
        <f t="shared" si="3"/>
        <v>13.92495013823619</v>
      </c>
      <c r="G11" s="68">
        <f t="shared" si="3"/>
        <v>1.392430973309716E-2</v>
      </c>
      <c r="H11" s="68">
        <f t="shared" si="3"/>
        <v>0.15252505839568939</v>
      </c>
      <c r="I11" s="68">
        <f t="shared" si="3"/>
        <v>0</v>
      </c>
      <c r="J11" s="68">
        <f t="shared" si="3"/>
        <v>100</v>
      </c>
      <c r="K11" s="52"/>
      <c r="M11" s="5"/>
    </row>
    <row r="12" spans="1:13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3"/>
      <c r="L12" s="5"/>
      <c r="M12" s="5"/>
    </row>
    <row r="13" spans="1:13" x14ac:dyDescent="0.25">
      <c r="A13" s="261" t="s">
        <v>57</v>
      </c>
      <c r="B13" s="262"/>
      <c r="C13" s="262"/>
      <c r="D13" s="262"/>
      <c r="E13" s="262"/>
      <c r="F13" s="262"/>
      <c r="G13" s="262"/>
      <c r="H13" s="262"/>
      <c r="I13" s="262"/>
      <c r="J13" s="263"/>
      <c r="K13" s="76"/>
      <c r="L13" s="5"/>
      <c r="M13" s="5"/>
    </row>
    <row r="14" spans="1:13" ht="38.25" x14ac:dyDescent="0.25">
      <c r="A14" s="225"/>
      <c r="B14" s="238" t="s">
        <v>0</v>
      </c>
      <c r="C14" s="216" t="s">
        <v>165</v>
      </c>
      <c r="D14" s="238" t="s">
        <v>5</v>
      </c>
      <c r="E14" s="238" t="s">
        <v>6</v>
      </c>
      <c r="F14" s="238" t="s">
        <v>13</v>
      </c>
      <c r="G14" s="238" t="s">
        <v>8</v>
      </c>
      <c r="H14" s="238" t="s">
        <v>7</v>
      </c>
      <c r="I14" s="238" t="s">
        <v>14</v>
      </c>
      <c r="J14" s="238" t="s">
        <v>40</v>
      </c>
      <c r="K14" s="54"/>
      <c r="L14" s="5"/>
      <c r="M14" s="5"/>
    </row>
    <row r="15" spans="1:13" x14ac:dyDescent="0.25">
      <c r="A15" s="66" t="s">
        <v>40</v>
      </c>
      <c r="B15" s="72">
        <f t="shared" ref="B15:G15" si="4">B10</f>
        <v>2.8824875784E-2</v>
      </c>
      <c r="C15" s="72">
        <f t="shared" si="4"/>
        <v>0</v>
      </c>
      <c r="D15" s="72">
        <f t="shared" si="4"/>
        <v>4.5803643479999989E-2</v>
      </c>
      <c r="E15" s="72">
        <f t="shared" si="4"/>
        <v>4.2528900599999995E-5</v>
      </c>
      <c r="F15" s="72">
        <f t="shared" si="4"/>
        <v>1.2103452000000001E-2</v>
      </c>
      <c r="G15" s="72">
        <f t="shared" si="4"/>
        <v>1.2102895365126351E-5</v>
      </c>
      <c r="H15" s="72">
        <f t="shared" ref="D15:J16" si="5">H10</f>
        <v>1.3257352484303102E-4</v>
      </c>
      <c r="I15" s="72">
        <f t="shared" si="5"/>
        <v>0</v>
      </c>
      <c r="J15" s="72">
        <f t="shared" si="5"/>
        <v>8.6919176584808161E-2</v>
      </c>
      <c r="K15" s="54"/>
      <c r="L15" s="5"/>
      <c r="M15" s="5"/>
    </row>
    <row r="16" spans="1:13" x14ac:dyDescent="0.25">
      <c r="A16" s="66" t="s">
        <v>39</v>
      </c>
      <c r="B16" s="68">
        <f>B11</f>
        <v>33.162849576554834</v>
      </c>
      <c r="C16" s="68">
        <f t="shared" ref="C16" si="6">C11</f>
        <v>0</v>
      </c>
      <c r="D16" s="68">
        <f t="shared" si="5"/>
        <v>52.696821667780966</v>
      </c>
      <c r="E16" s="68">
        <f t="shared" si="5"/>
        <v>4.8929249299208437E-2</v>
      </c>
      <c r="F16" s="68">
        <f t="shared" si="5"/>
        <v>13.92495013823619</v>
      </c>
      <c r="G16" s="68">
        <f t="shared" si="5"/>
        <v>1.392430973309716E-2</v>
      </c>
      <c r="H16" s="68">
        <f t="shared" si="5"/>
        <v>0.15252505839568939</v>
      </c>
      <c r="I16" s="68">
        <f t="shared" si="5"/>
        <v>0</v>
      </c>
      <c r="J16" s="68">
        <f t="shared" si="5"/>
        <v>100</v>
      </c>
      <c r="K16" s="54"/>
      <c r="L16" s="5"/>
      <c r="M16" s="5"/>
    </row>
    <row r="17" spans="1:13" x14ac:dyDescent="0.25">
      <c r="A17" s="51"/>
      <c r="B17" s="51"/>
      <c r="C17" s="51"/>
      <c r="D17" s="51"/>
      <c r="E17" s="51"/>
      <c r="F17" s="51"/>
      <c r="G17" s="17"/>
      <c r="H17" s="17"/>
      <c r="I17" s="51"/>
      <c r="J17" s="51"/>
      <c r="K17" s="43"/>
      <c r="L17" s="5"/>
      <c r="M17" s="5"/>
    </row>
    <row r="18" spans="1:13" x14ac:dyDescent="0.25">
      <c r="A18" s="264" t="s">
        <v>57</v>
      </c>
      <c r="B18" s="264"/>
      <c r="C18" s="264"/>
      <c r="D18" s="51"/>
      <c r="E18" s="51"/>
      <c r="F18" s="51"/>
      <c r="G18" s="48"/>
      <c r="H18" s="51"/>
      <c r="I18" s="51"/>
      <c r="J18" s="51"/>
      <c r="K18" s="43"/>
      <c r="L18" s="5"/>
      <c r="M18" s="5"/>
    </row>
    <row r="19" spans="1:13" x14ac:dyDescent="0.25">
      <c r="A19" s="222"/>
      <c r="B19" s="223" t="s">
        <v>40</v>
      </c>
      <c r="C19" s="223" t="s">
        <v>39</v>
      </c>
      <c r="D19" s="51"/>
      <c r="E19" s="51"/>
      <c r="F19" s="51"/>
      <c r="G19" s="51"/>
      <c r="H19" s="51"/>
      <c r="I19" s="66"/>
      <c r="J19" s="51"/>
      <c r="K19" s="43"/>
      <c r="L19" s="5"/>
      <c r="M19" s="5"/>
    </row>
    <row r="20" spans="1:13" x14ac:dyDescent="0.25">
      <c r="A20" s="222" t="s">
        <v>1</v>
      </c>
      <c r="B20" s="10">
        <f>J3</f>
        <v>4.8060991163999998E-2</v>
      </c>
      <c r="C20" s="68">
        <f>K3</f>
        <v>55.293886864087199</v>
      </c>
      <c r="D20" s="51"/>
      <c r="E20" s="51"/>
      <c r="F20" s="51"/>
      <c r="G20" s="51"/>
      <c r="H20" s="51"/>
      <c r="I20" s="66"/>
      <c r="J20" s="51"/>
      <c r="K20" s="43"/>
      <c r="L20" s="5"/>
      <c r="M20" s="5"/>
    </row>
    <row r="21" spans="1:13" x14ac:dyDescent="0.25">
      <c r="A21" s="222" t="s">
        <v>24</v>
      </c>
      <c r="B21" s="10">
        <f t="shared" ref="B21:B26" si="7">J4</f>
        <v>1.0539874085999999E-3</v>
      </c>
      <c r="C21" s="68">
        <f t="shared" ref="C21:C26" si="8">K4</f>
        <v>1.2126062970368925</v>
      </c>
      <c r="D21" s="51"/>
      <c r="E21" s="51"/>
      <c r="F21" s="51"/>
      <c r="G21" s="51"/>
      <c r="H21" s="51"/>
      <c r="I21" s="31"/>
      <c r="J21" s="51"/>
      <c r="K21" s="43"/>
      <c r="L21" s="5"/>
      <c r="M21" s="5"/>
    </row>
    <row r="22" spans="1:13" x14ac:dyDescent="0.25">
      <c r="A22" s="222" t="s">
        <v>2</v>
      </c>
      <c r="B22" s="10">
        <f t="shared" si="7"/>
        <v>4.5191196E-4</v>
      </c>
      <c r="C22" s="68">
        <f t="shared" si="8"/>
        <v>0.51992204454337376</v>
      </c>
      <c r="D22" s="30"/>
      <c r="E22" s="30"/>
      <c r="F22" s="30"/>
      <c r="G22" s="30"/>
      <c r="H22" s="30"/>
      <c r="I22" s="30"/>
      <c r="J22" s="30"/>
      <c r="K22" s="19"/>
      <c r="L22" s="5"/>
      <c r="M22" s="5"/>
    </row>
    <row r="23" spans="1:13" x14ac:dyDescent="0.25">
      <c r="A23" s="222" t="s">
        <v>3</v>
      </c>
      <c r="B23" s="10">
        <f t="shared" si="7"/>
        <v>1.8362964491999999E-2</v>
      </c>
      <c r="C23" s="68">
        <f t="shared" si="8"/>
        <v>21.126482340848014</v>
      </c>
      <c r="D23" s="264" t="s">
        <v>47</v>
      </c>
      <c r="E23" s="264"/>
      <c r="F23" s="30"/>
      <c r="G23" s="30"/>
      <c r="H23" s="30"/>
      <c r="I23" s="30"/>
      <c r="J23" s="30"/>
      <c r="K23" s="19"/>
      <c r="L23" s="5"/>
      <c r="M23" s="5"/>
    </row>
    <row r="24" spans="1:13" x14ac:dyDescent="0.25">
      <c r="A24" s="222" t="s">
        <v>4</v>
      </c>
      <c r="B24" s="10">
        <f t="shared" si="7"/>
        <v>1.435563685305574E-4</v>
      </c>
      <c r="C24" s="68">
        <f t="shared" si="8"/>
        <v>0.165160755279921</v>
      </c>
      <c r="D24" s="223" t="s">
        <v>40</v>
      </c>
      <c r="E24" s="223" t="s">
        <v>39</v>
      </c>
      <c r="F24" s="30"/>
      <c r="G24" s="30"/>
      <c r="H24" s="30"/>
      <c r="I24" s="30"/>
      <c r="J24" s="30"/>
      <c r="K24" s="19"/>
      <c r="L24" s="5"/>
      <c r="M24" s="5"/>
    </row>
    <row r="25" spans="1:13" x14ac:dyDescent="0.25">
      <c r="A25" s="222" t="s">
        <v>19</v>
      </c>
      <c r="B25" s="10">
        <f t="shared" si="7"/>
        <v>1.1200516775999998E-6</v>
      </c>
      <c r="C25" s="68">
        <f t="shared" si="8"/>
        <v>1.2886128488655791E-3</v>
      </c>
      <c r="D25" s="26">
        <f>B24+B25</f>
        <v>1.4467642020815738E-4</v>
      </c>
      <c r="E25" s="26">
        <f>C24+C25</f>
        <v>0.16644936812878658</v>
      </c>
      <c r="F25" s="30"/>
      <c r="G25" s="30"/>
      <c r="H25" s="30"/>
      <c r="I25" s="30"/>
      <c r="J25" s="30"/>
      <c r="K25" s="19"/>
      <c r="L25" s="5"/>
      <c r="M25" s="5"/>
    </row>
    <row r="26" spans="1:13" s="163" customFormat="1" x14ac:dyDescent="0.25">
      <c r="A26" s="222" t="s">
        <v>167</v>
      </c>
      <c r="B26" s="10">
        <f t="shared" si="7"/>
        <v>1.8844645140000001E-2</v>
      </c>
      <c r="C26" s="68">
        <f t="shared" si="8"/>
        <v>21.680653085355722</v>
      </c>
      <c r="D26" s="68"/>
      <c r="E26" s="68"/>
      <c r="F26" s="51"/>
      <c r="G26" s="51"/>
      <c r="H26" s="51"/>
      <c r="I26" s="51"/>
      <c r="J26" s="51"/>
      <c r="K26" s="43"/>
      <c r="L26" s="5"/>
      <c r="M26" s="5"/>
    </row>
    <row r="27" spans="1:13" x14ac:dyDescent="0.25">
      <c r="A27" s="222" t="s">
        <v>40</v>
      </c>
      <c r="B27" s="28">
        <f>SUM(B20:B26)</f>
        <v>8.6919176584808161E-2</v>
      </c>
      <c r="C27" s="27">
        <f>SUM(C20:C26)</f>
        <v>100</v>
      </c>
      <c r="D27" s="30"/>
      <c r="E27" s="30"/>
      <c r="F27" s="30"/>
      <c r="G27" s="30"/>
      <c r="H27" s="30"/>
      <c r="I27" s="30"/>
      <c r="J27" s="30"/>
      <c r="K27" s="19"/>
      <c r="L27" s="5"/>
      <c r="M27" s="5"/>
    </row>
    <row r="28" spans="1:1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5"/>
      <c r="M28" s="5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  <row r="49" spans="1:12" x14ac:dyDescent="0.25">
      <c r="A49" s="276" t="s">
        <v>61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8"/>
      <c r="L49" s="84"/>
    </row>
    <row r="50" spans="1:12" x14ac:dyDescent="0.25">
      <c r="A50" s="239"/>
      <c r="B50" s="240" t="s">
        <v>0</v>
      </c>
      <c r="C50" s="240" t="s">
        <v>165</v>
      </c>
      <c r="D50" s="240" t="s">
        <v>5</v>
      </c>
      <c r="E50" s="240" t="s">
        <v>6</v>
      </c>
      <c r="F50" s="240" t="s">
        <v>13</v>
      </c>
      <c r="G50" s="240" t="s">
        <v>8</v>
      </c>
      <c r="H50" s="240" t="s">
        <v>7</v>
      </c>
      <c r="I50" s="240" t="s">
        <v>14</v>
      </c>
      <c r="J50" s="240" t="s">
        <v>11</v>
      </c>
      <c r="K50" s="240" t="s">
        <v>39</v>
      </c>
    </row>
    <row r="51" spans="1:12" x14ac:dyDescent="0.25">
      <c r="A51" s="241" t="s">
        <v>1</v>
      </c>
      <c r="B51" s="32">
        <f>B3*1000</f>
        <v>5.6048115239999996</v>
      </c>
      <c r="C51" s="32">
        <f t="shared" ref="C51" si="9">C3*1000</f>
        <v>0</v>
      </c>
      <c r="D51" s="32">
        <f>D3*1000</f>
        <v>33.487927199999994</v>
      </c>
      <c r="E51" s="32">
        <f>E3*1000</f>
        <v>1.0624439999999999E-2</v>
      </c>
      <c r="F51" s="32">
        <f>F3*1000</f>
        <v>8.9576279999999997</v>
      </c>
      <c r="G51" s="33"/>
      <c r="H51" s="33"/>
      <c r="I51" s="33"/>
      <c r="J51" s="34">
        <f>SUM(B51:I51)</f>
        <v>48.060991163999994</v>
      </c>
      <c r="K51" s="35">
        <f t="shared" ref="K51:K57" si="10">(J51*100)/$J$58</f>
        <v>55.293886864087213</v>
      </c>
    </row>
    <row r="52" spans="1:12" x14ac:dyDescent="0.25">
      <c r="A52" s="241" t="s">
        <v>24</v>
      </c>
      <c r="B52" s="32">
        <f t="shared" ref="B52:H57" si="11">B4*1000</f>
        <v>0.40772386800000004</v>
      </c>
      <c r="C52" s="32">
        <f t="shared" si="11"/>
        <v>0</v>
      </c>
      <c r="D52" s="32">
        <f t="shared" si="11"/>
        <v>0.54955907999999998</v>
      </c>
      <c r="E52" s="32">
        <f t="shared" si="11"/>
        <v>3.1904460599999997E-2</v>
      </c>
      <c r="F52" s="32">
        <f t="shared" si="11"/>
        <v>6.480000000000001E-2</v>
      </c>
      <c r="G52" s="32">
        <f t="shared" si="11"/>
        <v>0</v>
      </c>
      <c r="H52" s="32">
        <f t="shared" si="11"/>
        <v>0</v>
      </c>
      <c r="I52" s="36"/>
      <c r="J52" s="34">
        <f t="shared" ref="J52:J57" si="12">SUM(B52:I52)</f>
        <v>1.0539874086000001</v>
      </c>
      <c r="K52" s="35">
        <f t="shared" si="10"/>
        <v>1.2126062970368929</v>
      </c>
    </row>
    <row r="53" spans="1:12" x14ac:dyDescent="0.25">
      <c r="A53" s="241" t="s">
        <v>2</v>
      </c>
      <c r="B53" s="32">
        <f t="shared" si="11"/>
        <v>0.45191196</v>
      </c>
      <c r="C53" s="33"/>
      <c r="D53" s="33"/>
      <c r="E53" s="33"/>
      <c r="F53" s="33"/>
      <c r="G53" s="33"/>
      <c r="H53" s="33"/>
      <c r="I53" s="33"/>
      <c r="J53" s="34">
        <f>SUM(B53:I53)</f>
        <v>0.45191196</v>
      </c>
      <c r="K53" s="35">
        <f t="shared" si="10"/>
        <v>0.51992204454337387</v>
      </c>
    </row>
    <row r="54" spans="1:12" x14ac:dyDescent="0.25">
      <c r="A54" s="241" t="s">
        <v>3</v>
      </c>
      <c r="B54" s="32">
        <f t="shared" si="11"/>
        <v>3.5157832920000001</v>
      </c>
      <c r="C54" s="32">
        <f t="shared" ref="C54" si="13">C6*1000</f>
        <v>0</v>
      </c>
      <c r="D54" s="32">
        <f>D6*1000</f>
        <v>11.766157199999999</v>
      </c>
      <c r="E54" s="32">
        <f>E6*1000</f>
        <v>0</v>
      </c>
      <c r="F54" s="32">
        <f>F6*1000</f>
        <v>3.0810240000000002</v>
      </c>
      <c r="G54" s="33"/>
      <c r="H54" s="33"/>
      <c r="I54" s="33"/>
      <c r="J54" s="34">
        <f t="shared" si="12"/>
        <v>18.362964492</v>
      </c>
      <c r="K54" s="35">
        <f t="shared" si="10"/>
        <v>21.126482340848021</v>
      </c>
    </row>
    <row r="55" spans="1:12" x14ac:dyDescent="0.25">
      <c r="A55" s="241" t="s">
        <v>4</v>
      </c>
      <c r="B55" s="33"/>
      <c r="C55" s="33"/>
      <c r="D55" s="33"/>
      <c r="E55" s="33"/>
      <c r="F55" s="33"/>
      <c r="G55" s="73">
        <f>G7*1000</f>
        <v>1.2102895365126352E-2</v>
      </c>
      <c r="H55" s="73">
        <f>H7*1000</f>
        <v>0.13145347316543105</v>
      </c>
      <c r="I55" s="73">
        <f>I7*1000</f>
        <v>0</v>
      </c>
      <c r="J55" s="34">
        <f t="shared" si="12"/>
        <v>0.14355636853055739</v>
      </c>
      <c r="K55" s="35">
        <f t="shared" si="10"/>
        <v>0.16516075527992102</v>
      </c>
    </row>
    <row r="56" spans="1:12" x14ac:dyDescent="0.25">
      <c r="A56" s="241" t="s">
        <v>19</v>
      </c>
      <c r="B56" s="33"/>
      <c r="C56" s="33"/>
      <c r="D56" s="33"/>
      <c r="E56" s="33"/>
      <c r="F56" s="33"/>
      <c r="G56" s="33"/>
      <c r="H56" s="73">
        <f>H8*1000</f>
        <v>1.1200516775999999E-3</v>
      </c>
      <c r="I56" s="33"/>
      <c r="J56" s="34">
        <f>SUM(B56:I56)</f>
        <v>1.1200516775999999E-3</v>
      </c>
      <c r="K56" s="35">
        <f t="shared" si="10"/>
        <v>1.2886128488655796E-3</v>
      </c>
    </row>
    <row r="57" spans="1:12" s="163" customFormat="1" x14ac:dyDescent="0.25">
      <c r="A57" s="224" t="s">
        <v>167</v>
      </c>
      <c r="B57" s="32">
        <f t="shared" si="11"/>
        <v>18.844645140000001</v>
      </c>
      <c r="C57" s="33"/>
      <c r="D57" s="33"/>
      <c r="E57" s="33"/>
      <c r="F57" s="33"/>
      <c r="G57" s="33"/>
      <c r="H57" s="33"/>
      <c r="I57" s="33"/>
      <c r="J57" s="34">
        <f t="shared" si="12"/>
        <v>18.844645140000001</v>
      </c>
      <c r="K57" s="35">
        <f t="shared" si="10"/>
        <v>21.680653085355729</v>
      </c>
    </row>
    <row r="58" spans="1:12" x14ac:dyDescent="0.25">
      <c r="A58" s="239" t="s">
        <v>11</v>
      </c>
      <c r="B58" s="34">
        <f>SUM(B51:B57)</f>
        <v>28.824875784</v>
      </c>
      <c r="C58" s="34">
        <f t="shared" ref="C58:I58" si="14">SUM(C51:C57)</f>
        <v>0</v>
      </c>
      <c r="D58" s="34">
        <f t="shared" si="14"/>
        <v>45.803643479999991</v>
      </c>
      <c r="E58" s="34">
        <f t="shared" si="14"/>
        <v>4.2528900599999996E-2</v>
      </c>
      <c r="F58" s="34">
        <f t="shared" si="14"/>
        <v>12.103452000000001</v>
      </c>
      <c r="G58" s="34">
        <f>SUM(G51:G57)</f>
        <v>1.2102895365126352E-2</v>
      </c>
      <c r="H58" s="34">
        <f t="shared" si="14"/>
        <v>0.13257352484303103</v>
      </c>
      <c r="I58" s="34">
        <f t="shared" si="14"/>
        <v>0</v>
      </c>
      <c r="J58" s="34">
        <f>SUM(J51:J57)</f>
        <v>86.919176584808142</v>
      </c>
      <c r="K58" s="35"/>
    </row>
    <row r="59" spans="1:12" x14ac:dyDescent="0.25">
      <c r="A59" s="239" t="s">
        <v>39</v>
      </c>
      <c r="B59" s="9">
        <f t="shared" ref="B59:J59" si="15">(B58*100)/$J$58</f>
        <v>33.162849576554841</v>
      </c>
      <c r="C59" s="9">
        <f t="shared" si="15"/>
        <v>0</v>
      </c>
      <c r="D59" s="9">
        <f t="shared" si="15"/>
        <v>52.696821667780981</v>
      </c>
      <c r="E59" s="9">
        <f t="shared" si="15"/>
        <v>4.8929249299208451E-2</v>
      </c>
      <c r="F59" s="9">
        <f t="shared" si="15"/>
        <v>13.92495013823619</v>
      </c>
      <c r="G59" s="9">
        <f t="shared" si="15"/>
        <v>1.3924309733097164E-2</v>
      </c>
      <c r="H59" s="9">
        <f t="shared" si="15"/>
        <v>0.15252505839568944</v>
      </c>
      <c r="I59" s="9">
        <f t="shared" si="15"/>
        <v>0</v>
      </c>
      <c r="J59" s="9">
        <f t="shared" si="15"/>
        <v>100</v>
      </c>
      <c r="K59" s="37"/>
    </row>
    <row r="60" spans="1:12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54"/>
    </row>
    <row r="61" spans="1:12" ht="15" customHeight="1" x14ac:dyDescent="0.25">
      <c r="A61" s="272" t="s">
        <v>61</v>
      </c>
      <c r="B61" s="273"/>
      <c r="C61" s="273"/>
      <c r="D61" s="273"/>
      <c r="E61" s="273"/>
      <c r="F61" s="273"/>
      <c r="G61" s="273"/>
      <c r="H61" s="273"/>
      <c r="I61" s="273"/>
      <c r="J61" s="274"/>
      <c r="K61" s="80"/>
    </row>
    <row r="62" spans="1:12" ht="38.25" x14ac:dyDescent="0.25">
      <c r="A62" s="236"/>
      <c r="B62" s="236" t="s">
        <v>0</v>
      </c>
      <c r="C62" s="237" t="s">
        <v>165</v>
      </c>
      <c r="D62" s="236" t="s">
        <v>5</v>
      </c>
      <c r="E62" s="236" t="s">
        <v>6</v>
      </c>
      <c r="F62" s="236" t="s">
        <v>13</v>
      </c>
      <c r="G62" s="236" t="s">
        <v>8</v>
      </c>
      <c r="H62" s="236" t="s">
        <v>7</v>
      </c>
      <c r="I62" s="236" t="s">
        <v>14</v>
      </c>
      <c r="J62" s="237" t="s">
        <v>40</v>
      </c>
      <c r="K62" s="54"/>
    </row>
    <row r="63" spans="1:12" x14ac:dyDescent="0.25">
      <c r="A63" s="45" t="s">
        <v>40</v>
      </c>
      <c r="B63" s="46">
        <f>B58</f>
        <v>28.824875784</v>
      </c>
      <c r="C63" s="46">
        <f t="shared" ref="C63" si="16">C58</f>
        <v>0</v>
      </c>
      <c r="D63" s="46">
        <f t="shared" ref="D63:J64" si="17">D58</f>
        <v>45.803643479999991</v>
      </c>
      <c r="E63" s="46">
        <f t="shared" si="17"/>
        <v>4.2528900599999996E-2</v>
      </c>
      <c r="F63" s="46">
        <f t="shared" si="17"/>
        <v>12.103452000000001</v>
      </c>
      <c r="G63" s="46">
        <f t="shared" si="17"/>
        <v>1.2102895365126352E-2</v>
      </c>
      <c r="H63" s="46">
        <f t="shared" si="17"/>
        <v>0.13257352484303103</v>
      </c>
      <c r="I63" s="46">
        <f t="shared" si="17"/>
        <v>0</v>
      </c>
      <c r="J63" s="46">
        <f>J58</f>
        <v>86.919176584808142</v>
      </c>
      <c r="K63" s="54"/>
    </row>
    <row r="64" spans="1:12" x14ac:dyDescent="0.25">
      <c r="A64" s="45" t="s">
        <v>62</v>
      </c>
      <c r="B64" s="47">
        <f t="shared" ref="B64:C64" si="18">B59</f>
        <v>33.162849576554841</v>
      </c>
      <c r="C64" s="47">
        <f t="shared" si="18"/>
        <v>0</v>
      </c>
      <c r="D64" s="47">
        <f t="shared" si="17"/>
        <v>52.696821667780981</v>
      </c>
      <c r="E64" s="47">
        <f t="shared" si="17"/>
        <v>4.8929249299208451E-2</v>
      </c>
      <c r="F64" s="47">
        <f t="shared" si="17"/>
        <v>13.92495013823619</v>
      </c>
      <c r="G64" s="47">
        <f t="shared" si="17"/>
        <v>1.3924309733097164E-2</v>
      </c>
      <c r="H64" s="47">
        <f t="shared" si="17"/>
        <v>0.15252505839568944</v>
      </c>
      <c r="I64" s="47">
        <f t="shared" si="17"/>
        <v>0</v>
      </c>
      <c r="J64" s="47">
        <f t="shared" si="17"/>
        <v>100</v>
      </c>
      <c r="K64" s="54"/>
    </row>
    <row r="65" spans="1:11" x14ac:dyDescent="0.25">
      <c r="A65" s="43"/>
      <c r="B65" s="43"/>
      <c r="C65" s="43"/>
      <c r="D65" s="43"/>
      <c r="E65" s="43"/>
      <c r="F65" s="43"/>
      <c r="G65" s="17"/>
      <c r="H65" s="17"/>
      <c r="I65" s="43"/>
      <c r="J65" s="43"/>
      <c r="K65" s="54"/>
    </row>
    <row r="66" spans="1:11" x14ac:dyDescent="0.25">
      <c r="A66" s="275" t="s">
        <v>61</v>
      </c>
      <c r="B66" s="275"/>
      <c r="C66" s="275"/>
      <c r="D66" s="43"/>
      <c r="E66" s="43"/>
      <c r="F66" s="43"/>
      <c r="G66" s="6"/>
      <c r="H66" s="43"/>
      <c r="I66" s="43"/>
      <c r="J66" s="43"/>
      <c r="K66" s="54"/>
    </row>
    <row r="67" spans="1:11" x14ac:dyDescent="0.25">
      <c r="A67" s="239"/>
      <c r="B67" s="240" t="s">
        <v>40</v>
      </c>
      <c r="C67" s="240" t="s">
        <v>62</v>
      </c>
      <c r="D67" s="43"/>
      <c r="E67" s="43"/>
      <c r="F67" s="43"/>
      <c r="G67" s="43"/>
      <c r="H67" s="43"/>
      <c r="I67" s="38"/>
      <c r="J67" s="43"/>
      <c r="K67" s="54"/>
    </row>
    <row r="68" spans="1:11" x14ac:dyDescent="0.25">
      <c r="A68" s="239" t="s">
        <v>1</v>
      </c>
      <c r="B68" s="9">
        <f t="shared" ref="B68:C74" si="19">J51</f>
        <v>48.060991163999994</v>
      </c>
      <c r="C68" s="9">
        <f>K51</f>
        <v>55.293886864087213</v>
      </c>
      <c r="D68" s="43"/>
      <c r="E68" s="43"/>
      <c r="F68" s="43"/>
      <c r="G68" s="43"/>
      <c r="H68" s="43"/>
      <c r="I68" s="38"/>
      <c r="J68" s="43"/>
      <c r="K68" s="54"/>
    </row>
    <row r="69" spans="1:11" x14ac:dyDescent="0.25">
      <c r="A69" s="239" t="s">
        <v>24</v>
      </c>
      <c r="B69" s="9">
        <f t="shared" si="19"/>
        <v>1.0539874086000001</v>
      </c>
      <c r="C69" s="9">
        <f t="shared" si="19"/>
        <v>1.2126062970368929</v>
      </c>
      <c r="D69" s="43"/>
      <c r="E69" s="43"/>
      <c r="F69" s="43"/>
      <c r="G69" s="43"/>
      <c r="H69" s="43"/>
      <c r="I69" s="16"/>
      <c r="J69" s="43"/>
      <c r="K69" s="54"/>
    </row>
    <row r="70" spans="1:11" x14ac:dyDescent="0.25">
      <c r="A70" s="239" t="s">
        <v>2</v>
      </c>
      <c r="B70" s="9">
        <f t="shared" si="19"/>
        <v>0.45191196</v>
      </c>
      <c r="C70" s="9">
        <f t="shared" si="19"/>
        <v>0.51992204454337387</v>
      </c>
      <c r="D70" s="19"/>
      <c r="E70" s="19"/>
      <c r="F70" s="19"/>
      <c r="G70" s="19"/>
      <c r="H70" s="19"/>
      <c r="I70" s="19"/>
      <c r="J70" s="19"/>
      <c r="K70" s="14"/>
    </row>
    <row r="71" spans="1:11" x14ac:dyDescent="0.25">
      <c r="A71" s="239" t="s">
        <v>3</v>
      </c>
      <c r="B71" s="9">
        <f t="shared" si="19"/>
        <v>18.362964492</v>
      </c>
      <c r="C71" s="9">
        <f t="shared" si="19"/>
        <v>21.126482340848021</v>
      </c>
      <c r="D71" s="275" t="s">
        <v>47</v>
      </c>
      <c r="E71" s="275"/>
      <c r="F71" s="19"/>
      <c r="G71" s="19"/>
      <c r="H71" s="19"/>
      <c r="I71" s="19"/>
      <c r="J71" s="19"/>
      <c r="K71" s="14"/>
    </row>
    <row r="72" spans="1:11" x14ac:dyDescent="0.25">
      <c r="A72" s="239" t="s">
        <v>4</v>
      </c>
      <c r="B72" s="9">
        <f t="shared" si="19"/>
        <v>0.14355636853055739</v>
      </c>
      <c r="C72" s="9">
        <f t="shared" si="19"/>
        <v>0.16516075527992102</v>
      </c>
      <c r="D72" s="240" t="s">
        <v>40</v>
      </c>
      <c r="E72" s="240" t="s">
        <v>39</v>
      </c>
      <c r="F72" s="19"/>
      <c r="G72" s="19"/>
      <c r="H72" s="19"/>
      <c r="I72" s="19"/>
      <c r="J72" s="19"/>
      <c r="K72" s="14"/>
    </row>
    <row r="73" spans="1:11" x14ac:dyDescent="0.25">
      <c r="A73" s="239" t="s">
        <v>19</v>
      </c>
      <c r="B73" s="9">
        <f t="shared" si="19"/>
        <v>1.1200516775999999E-3</v>
      </c>
      <c r="C73" s="9">
        <f t="shared" si="19"/>
        <v>1.2886128488655796E-3</v>
      </c>
      <c r="D73" s="9">
        <f>B72+B73</f>
        <v>0.14467642020815738</v>
      </c>
      <c r="E73" s="9">
        <f>C72+C73</f>
        <v>0.16644936812878661</v>
      </c>
      <c r="F73" s="19"/>
      <c r="G73" s="19"/>
      <c r="H73" s="19"/>
      <c r="I73" s="19"/>
      <c r="J73" s="19"/>
      <c r="K73" s="14"/>
    </row>
    <row r="74" spans="1:11" s="163" customFormat="1" x14ac:dyDescent="0.25">
      <c r="A74" s="224" t="s">
        <v>167</v>
      </c>
      <c r="B74" s="9">
        <f t="shared" si="19"/>
        <v>18.844645140000001</v>
      </c>
      <c r="C74" s="9">
        <f t="shared" si="19"/>
        <v>21.680653085355729</v>
      </c>
      <c r="D74" s="9"/>
      <c r="E74" s="9"/>
      <c r="F74" s="43"/>
      <c r="G74" s="43"/>
      <c r="H74" s="43"/>
      <c r="I74" s="43"/>
      <c r="J74" s="43"/>
      <c r="K74" s="165"/>
    </row>
    <row r="75" spans="1:11" x14ac:dyDescent="0.25">
      <c r="A75" s="239" t="s">
        <v>40</v>
      </c>
      <c r="B75" s="35">
        <f>SUM(B68:B74)</f>
        <v>86.919176584808142</v>
      </c>
      <c r="C75" s="35">
        <f>SUM(C68:C74)</f>
        <v>100.00000000000003</v>
      </c>
      <c r="D75" s="19"/>
      <c r="E75" s="19"/>
      <c r="F75" s="19"/>
      <c r="G75" s="19"/>
      <c r="H75" s="19"/>
      <c r="I75" s="19"/>
      <c r="J75" s="19"/>
      <c r="K75" s="14"/>
    </row>
  </sheetData>
  <mergeCells count="8">
    <mergeCell ref="A13:J13"/>
    <mergeCell ref="A1:K1"/>
    <mergeCell ref="D71:E71"/>
    <mergeCell ref="A18:C18"/>
    <mergeCell ref="D23:E23"/>
    <mergeCell ref="A66:C66"/>
    <mergeCell ref="A61:J61"/>
    <mergeCell ref="A49:K4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7" sqref="D7"/>
    </sheetView>
  </sheetViews>
  <sheetFormatPr defaultRowHeight="15" x14ac:dyDescent="0.25"/>
  <cols>
    <col min="1" max="1" width="43.85546875" style="163" bestFit="1" customWidth="1"/>
    <col min="2" max="2" width="37.42578125" style="163" bestFit="1" customWidth="1"/>
    <col min="3" max="3" width="9.5703125" style="163" bestFit="1" customWidth="1"/>
    <col min="4" max="4" width="19.5703125" style="163" customWidth="1"/>
    <col min="5" max="5" width="15.28515625" style="163" customWidth="1"/>
    <col min="6" max="6" width="17" style="163" customWidth="1"/>
    <col min="7" max="7" width="18" style="163" customWidth="1"/>
    <col min="8" max="8" width="12.7109375" style="163" bestFit="1" customWidth="1"/>
    <col min="9" max="9" width="13.42578125" style="163" bestFit="1" customWidth="1"/>
    <col min="10" max="16384" width="9.140625" style="163"/>
  </cols>
  <sheetData>
    <row r="1" spans="1:9" x14ac:dyDescent="0.25">
      <c r="A1" s="284" t="s">
        <v>202</v>
      </c>
      <c r="B1" s="285"/>
      <c r="C1" s="74"/>
      <c r="D1" s="74"/>
      <c r="E1" s="74"/>
      <c r="F1" s="74"/>
      <c r="G1" s="74"/>
    </row>
    <row r="2" spans="1:9" x14ac:dyDescent="0.25">
      <c r="A2" s="91" t="s">
        <v>168</v>
      </c>
      <c r="B2" s="180">
        <v>2520.6999999999998</v>
      </c>
      <c r="C2" s="74"/>
      <c r="D2" s="74"/>
      <c r="E2" s="74"/>
      <c r="F2" s="74"/>
      <c r="G2" s="74"/>
    </row>
    <row r="3" spans="1:9" ht="30" customHeight="1" x14ac:dyDescent="0.25">
      <c r="A3" s="91" t="s">
        <v>85</v>
      </c>
      <c r="B3" s="91">
        <f>B2*0.7</f>
        <v>1764.4899999999998</v>
      </c>
      <c r="C3" s="74"/>
      <c r="D3" s="291" t="s">
        <v>206</v>
      </c>
      <c r="E3" s="291"/>
      <c r="F3" s="291"/>
      <c r="G3" s="291"/>
      <c r="H3" s="291"/>
      <c r="I3" s="291"/>
    </row>
    <row r="4" spans="1:9" x14ac:dyDescent="0.25">
      <c r="A4" s="91" t="s">
        <v>96</v>
      </c>
      <c r="B4" s="91">
        <f>B2-B3</f>
        <v>756.21</v>
      </c>
      <c r="C4" s="74"/>
      <c r="D4" s="286" t="s">
        <v>97</v>
      </c>
      <c r="E4" s="286" t="s">
        <v>170</v>
      </c>
      <c r="F4" s="286" t="s">
        <v>171</v>
      </c>
      <c r="G4" s="286" t="s">
        <v>172</v>
      </c>
      <c r="H4" s="286" t="s">
        <v>173</v>
      </c>
      <c r="I4" s="286" t="s">
        <v>174</v>
      </c>
    </row>
    <row r="5" spans="1:9" ht="32.25" customHeight="1" x14ac:dyDescent="0.25">
      <c r="A5" s="74"/>
      <c r="B5" s="74"/>
      <c r="C5" s="74"/>
      <c r="D5" s="181">
        <f>'zużycie całkowite i emisja'!E44</f>
        <v>0.27900000000000003</v>
      </c>
      <c r="E5" s="83">
        <f>'zużycie całkowite i emisja'!E61</f>
        <v>140</v>
      </c>
      <c r="F5" s="83">
        <f>'zużycie całkowite i emisja'!E79</f>
        <v>70</v>
      </c>
      <c r="G5" s="181">
        <f>'zużycie całkowite i emisja'!E97</f>
        <v>3</v>
      </c>
      <c r="H5" s="181">
        <f>'zużycie całkowite i emisja'!E115</f>
        <v>3</v>
      </c>
      <c r="I5" s="181">
        <f>'zużycie całkowite i emisja'!E133</f>
        <v>10</v>
      </c>
    </row>
    <row r="6" spans="1:9" x14ac:dyDescent="0.25">
      <c r="A6" s="286"/>
      <c r="B6" s="286" t="s">
        <v>88</v>
      </c>
      <c r="C6" s="286" t="s">
        <v>89</v>
      </c>
      <c r="D6" s="286" t="s">
        <v>90</v>
      </c>
      <c r="E6" s="286" t="s">
        <v>157</v>
      </c>
      <c r="F6" s="286" t="s">
        <v>158</v>
      </c>
      <c r="G6" s="286" t="s">
        <v>91</v>
      </c>
      <c r="H6" s="286" t="s">
        <v>92</v>
      </c>
      <c r="I6" s="286" t="s">
        <v>93</v>
      </c>
    </row>
    <row r="7" spans="1:9" x14ac:dyDescent="0.25">
      <c r="A7" s="91" t="s">
        <v>94</v>
      </c>
      <c r="B7" s="95">
        <f>B4</f>
        <v>756.21</v>
      </c>
      <c r="C7" s="95">
        <f>B7*0.277777</f>
        <v>210.05774517</v>
      </c>
      <c r="D7" s="95">
        <f>$C$7*D5</f>
        <v>58.606110902430004</v>
      </c>
      <c r="E7" s="95">
        <f>($B$7*E5)/1000000</f>
        <v>0.1058694</v>
      </c>
      <c r="F7" s="95">
        <f>($B$7*F5)/1000000</f>
        <v>5.2934700000000001E-2</v>
      </c>
      <c r="G7" s="95">
        <f>($B$7*G5)/1000000</f>
        <v>2.2686300000000002E-3</v>
      </c>
      <c r="H7" s="95">
        <f>($B$7*H5)/1000000</f>
        <v>2.2686300000000002E-3</v>
      </c>
      <c r="I7" s="95">
        <f>($B$7*I5)/1000000</f>
        <v>7.5621000000000004E-3</v>
      </c>
    </row>
    <row r="9" spans="1:9" x14ac:dyDescent="0.25">
      <c r="C9" s="196"/>
      <c r="D9" s="196"/>
      <c r="E9" s="196"/>
      <c r="F9" s="196"/>
      <c r="G9" s="196"/>
    </row>
    <row r="10" spans="1:9" x14ac:dyDescent="0.25">
      <c r="A10" s="290" t="s">
        <v>203</v>
      </c>
      <c r="B10" s="290"/>
      <c r="C10" s="196"/>
      <c r="D10" s="196"/>
      <c r="E10" s="196"/>
      <c r="F10" s="196"/>
      <c r="G10" s="196"/>
    </row>
    <row r="11" spans="1:9" x14ac:dyDescent="0.25">
      <c r="A11" s="198" t="s">
        <v>124</v>
      </c>
      <c r="B11" s="198">
        <v>2.82</v>
      </c>
      <c r="C11" s="196"/>
      <c r="D11" s="291" t="s">
        <v>206</v>
      </c>
      <c r="E11" s="291"/>
      <c r="F11" s="291"/>
      <c r="G11" s="291"/>
      <c r="H11" s="291"/>
      <c r="I11" s="291"/>
    </row>
    <row r="12" spans="1:9" x14ac:dyDescent="0.25">
      <c r="A12" s="198" t="s">
        <v>205</v>
      </c>
      <c r="B12" s="198">
        <v>10</v>
      </c>
      <c r="C12" s="196"/>
      <c r="D12" s="286" t="s">
        <v>97</v>
      </c>
      <c r="E12" s="286" t="s">
        <v>170</v>
      </c>
      <c r="F12" s="286" t="s">
        <v>171</v>
      </c>
      <c r="G12" s="286" t="s">
        <v>172</v>
      </c>
      <c r="H12" s="286" t="s">
        <v>173</v>
      </c>
      <c r="I12" s="286" t="s">
        <v>174</v>
      </c>
    </row>
    <row r="13" spans="1:9" x14ac:dyDescent="0.25">
      <c r="A13" s="196"/>
      <c r="B13" s="196"/>
      <c r="C13" s="196"/>
      <c r="D13" s="181">
        <f>'zużycie całkowite i emisja'!E44</f>
        <v>0.27900000000000003</v>
      </c>
      <c r="E13" s="83">
        <f>'zużycie całkowite i emisja'!E61</f>
        <v>140</v>
      </c>
      <c r="F13" s="83">
        <f>'zużycie całkowite i emisja'!E79</f>
        <v>70</v>
      </c>
      <c r="G13" s="181">
        <f>'zużycie całkowite i emisja'!E97</f>
        <v>3</v>
      </c>
      <c r="H13" s="181">
        <f>'zużycie całkowite i emisja'!E115</f>
        <v>3</v>
      </c>
      <c r="I13" s="181">
        <f>'zużycie całkowite i emisja'!E133</f>
        <v>10</v>
      </c>
    </row>
    <row r="14" spans="1:9" x14ac:dyDescent="0.25">
      <c r="A14" s="286"/>
      <c r="B14" s="286" t="s">
        <v>88</v>
      </c>
      <c r="C14" s="286" t="s">
        <v>89</v>
      </c>
      <c r="D14" s="286" t="s">
        <v>90</v>
      </c>
      <c r="E14" s="286" t="s">
        <v>157</v>
      </c>
      <c r="F14" s="286" t="s">
        <v>158</v>
      </c>
      <c r="G14" s="286" t="s">
        <v>91</v>
      </c>
      <c r="H14" s="286" t="s">
        <v>92</v>
      </c>
      <c r="I14" s="286" t="s">
        <v>93</v>
      </c>
    </row>
    <row r="15" spans="1:9" x14ac:dyDescent="0.25">
      <c r="A15" s="198" t="s">
        <v>94</v>
      </c>
      <c r="B15" s="199">
        <f>C15*3.6</f>
        <v>101.52</v>
      </c>
      <c r="C15" s="199">
        <f>B11*B12</f>
        <v>28.2</v>
      </c>
      <c r="D15" s="199">
        <f>C15*D13</f>
        <v>7.8678000000000008</v>
      </c>
      <c r="E15" s="199">
        <f>($B$15*E13)/1000000</f>
        <v>1.4212799999999999E-2</v>
      </c>
      <c r="F15" s="199">
        <f>($B$15*F13)/1000000</f>
        <v>7.1063999999999997E-3</v>
      </c>
      <c r="G15" s="199">
        <f>($B$15*G13)/1000000</f>
        <v>3.0456E-4</v>
      </c>
      <c r="H15" s="199">
        <f t="shared" ref="H15:I15" si="0">($B$15*H13)/1000000</f>
        <v>3.0456E-4</v>
      </c>
      <c r="I15" s="199">
        <f t="shared" si="0"/>
        <v>1.0152E-3</v>
      </c>
    </row>
    <row r="17" spans="1:9" x14ac:dyDescent="0.25">
      <c r="C17" s="196"/>
      <c r="D17" s="196"/>
      <c r="E17" s="196"/>
      <c r="F17" s="196"/>
      <c r="G17" s="196"/>
    </row>
    <row r="18" spans="1:9" x14ac:dyDescent="0.25">
      <c r="A18" s="284" t="s">
        <v>204</v>
      </c>
      <c r="B18" s="285"/>
      <c r="C18" s="196"/>
      <c r="D18" s="196"/>
      <c r="E18" s="196"/>
      <c r="F18" s="196"/>
      <c r="G18" s="196"/>
    </row>
    <row r="19" spans="1:9" x14ac:dyDescent="0.25">
      <c r="A19" s="198" t="s">
        <v>125</v>
      </c>
      <c r="B19" s="198">
        <v>3.1</v>
      </c>
      <c r="C19" s="196"/>
      <c r="D19" s="291" t="s">
        <v>162</v>
      </c>
      <c r="E19" s="291"/>
      <c r="F19" s="291"/>
      <c r="G19" s="291"/>
      <c r="H19" s="291"/>
      <c r="I19" s="291"/>
    </row>
    <row r="20" spans="1:9" x14ac:dyDescent="0.25">
      <c r="A20" s="198" t="s">
        <v>205</v>
      </c>
      <c r="B20" s="198">
        <v>10</v>
      </c>
      <c r="C20" s="196"/>
      <c r="D20" s="286" t="s">
        <v>97</v>
      </c>
      <c r="E20" s="286" t="s">
        <v>170</v>
      </c>
      <c r="F20" s="286" t="s">
        <v>171</v>
      </c>
      <c r="G20" s="286" t="s">
        <v>172</v>
      </c>
      <c r="H20" s="286" t="s">
        <v>173</v>
      </c>
      <c r="I20" s="286" t="s">
        <v>174</v>
      </c>
    </row>
    <row r="21" spans="1:9" x14ac:dyDescent="0.25">
      <c r="A21" s="196"/>
      <c r="B21" s="196"/>
      <c r="C21" s="196"/>
      <c r="D21" s="181">
        <f>'zużycie całkowite i emisja'!B44</f>
        <v>0.81200000000000006</v>
      </c>
      <c r="E21" s="181">
        <f>'zużycie całkowite i emisja'!B61</f>
        <v>900</v>
      </c>
      <c r="F21" s="181">
        <f>'zużycie całkowite i emisja'!B79</f>
        <v>130</v>
      </c>
      <c r="G21" s="181">
        <f>'zużycie całkowite i emisja'!B97</f>
        <v>380</v>
      </c>
      <c r="H21" s="181">
        <f>'zużycie całkowite i emisja'!B115</f>
        <v>360</v>
      </c>
      <c r="I21" s="181">
        <f>'zużycie całkowite i emisja'!B133</f>
        <v>270</v>
      </c>
    </row>
    <row r="22" spans="1:9" x14ac:dyDescent="0.25">
      <c r="A22" s="286"/>
      <c r="B22" s="286" t="s">
        <v>88</v>
      </c>
      <c r="C22" s="286" t="s">
        <v>89</v>
      </c>
      <c r="D22" s="286" t="s">
        <v>90</v>
      </c>
      <c r="E22" s="286" t="s">
        <v>157</v>
      </c>
      <c r="F22" s="286" t="s">
        <v>158</v>
      </c>
      <c r="G22" s="286" t="s">
        <v>91</v>
      </c>
      <c r="H22" s="286" t="s">
        <v>92</v>
      </c>
      <c r="I22" s="286" t="s">
        <v>93</v>
      </c>
    </row>
    <row r="23" spans="1:9" x14ac:dyDescent="0.25">
      <c r="A23" s="198" t="s">
        <v>94</v>
      </c>
      <c r="B23" s="199">
        <f>C23*3.6</f>
        <v>111.60000000000001</v>
      </c>
      <c r="C23" s="199">
        <f>B19*B20</f>
        <v>31</v>
      </c>
      <c r="D23" s="199">
        <f>C23*D21</f>
        <v>25.172000000000001</v>
      </c>
      <c r="E23" s="199">
        <f>($B$23*E21)/1000000</f>
        <v>0.10044000000000002</v>
      </c>
      <c r="F23" s="199">
        <f t="shared" ref="F23:I23" si="1">($B$23*F21)/1000000</f>
        <v>1.4508000000000002E-2</v>
      </c>
      <c r="G23" s="199">
        <f t="shared" si="1"/>
        <v>4.2408000000000001E-2</v>
      </c>
      <c r="H23" s="199">
        <f t="shared" si="1"/>
        <v>4.0176000000000003E-2</v>
      </c>
      <c r="I23" s="199">
        <f t="shared" si="1"/>
        <v>3.0132000000000003E-2</v>
      </c>
    </row>
  </sheetData>
  <mergeCells count="6">
    <mergeCell ref="D19:I19"/>
    <mergeCell ref="A1:B1"/>
    <mergeCell ref="D3:I3"/>
    <mergeCell ref="A10:B10"/>
    <mergeCell ref="D11:I11"/>
    <mergeCell ref="A18:B1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6" sqref="A6:I6"/>
    </sheetView>
  </sheetViews>
  <sheetFormatPr defaultRowHeight="15" x14ac:dyDescent="0.25"/>
  <cols>
    <col min="1" max="1" width="43.85546875" style="163" bestFit="1" customWidth="1"/>
    <col min="2" max="2" width="37.42578125" style="163" bestFit="1" customWidth="1"/>
    <col min="3" max="3" width="9.5703125" style="163" bestFit="1" customWidth="1"/>
    <col min="4" max="5" width="15.28515625" style="163" customWidth="1"/>
    <col min="6" max="6" width="17" style="163" customWidth="1"/>
    <col min="7" max="7" width="18" style="163" customWidth="1"/>
    <col min="8" max="8" width="12.7109375" style="163" bestFit="1" customWidth="1"/>
    <col min="9" max="9" width="13.42578125" style="163" bestFit="1" customWidth="1"/>
    <col min="10" max="16384" width="9.140625" style="163"/>
  </cols>
  <sheetData>
    <row r="1" spans="1:9" x14ac:dyDescent="0.25">
      <c r="A1" s="284" t="s">
        <v>175</v>
      </c>
      <c r="B1" s="285"/>
      <c r="C1" s="74"/>
      <c r="D1" s="74"/>
      <c r="E1" s="74"/>
      <c r="F1" s="74"/>
      <c r="G1" s="74"/>
    </row>
    <row r="2" spans="1:9" x14ac:dyDescent="0.25">
      <c r="A2" s="91" t="s">
        <v>168</v>
      </c>
      <c r="B2" s="180">
        <v>745.2</v>
      </c>
      <c r="C2" s="74"/>
      <c r="D2" s="74"/>
      <c r="E2" s="74"/>
      <c r="F2" s="74"/>
      <c r="G2" s="74"/>
    </row>
    <row r="3" spans="1:9" ht="30" customHeight="1" x14ac:dyDescent="0.25">
      <c r="A3" s="91" t="s">
        <v>85</v>
      </c>
      <c r="B3" s="91">
        <f>B2*0.7</f>
        <v>521.64</v>
      </c>
      <c r="C3" s="74"/>
      <c r="D3" s="287" t="s">
        <v>169</v>
      </c>
      <c r="E3" s="288"/>
      <c r="F3" s="288"/>
      <c r="G3" s="288"/>
      <c r="H3" s="288"/>
      <c r="I3" s="289"/>
    </row>
    <row r="4" spans="1:9" x14ac:dyDescent="0.25">
      <c r="A4" s="91" t="s">
        <v>96</v>
      </c>
      <c r="B4" s="91">
        <f>B2-B3</f>
        <v>223.56000000000006</v>
      </c>
      <c r="C4" s="74"/>
      <c r="D4" s="286" t="s">
        <v>97</v>
      </c>
      <c r="E4" s="286" t="s">
        <v>170</v>
      </c>
      <c r="F4" s="286" t="s">
        <v>171</v>
      </c>
      <c r="G4" s="286" t="s">
        <v>172</v>
      </c>
      <c r="H4" s="286" t="s">
        <v>173</v>
      </c>
      <c r="I4" s="286" t="s">
        <v>174</v>
      </c>
    </row>
    <row r="5" spans="1:9" ht="32.25" customHeight="1" x14ac:dyDescent="0.25">
      <c r="A5" s="74"/>
      <c r="B5" s="74"/>
      <c r="C5" s="74"/>
      <c r="D5" s="181">
        <f>'zużycie całkowite i emisja'!D44</f>
        <v>0.34599999999999997</v>
      </c>
      <c r="E5" s="182">
        <f>'zużycie całkowite i emisja'!D61</f>
        <v>900</v>
      </c>
      <c r="F5" s="182">
        <f>'zużycie całkowite i emisja'!D79</f>
        <v>130</v>
      </c>
      <c r="G5" s="180">
        <f>'zużycie całkowite i emisja'!D97</f>
        <v>380</v>
      </c>
      <c r="H5" s="180">
        <f>'zużycie całkowite i emisja'!D115</f>
        <v>360</v>
      </c>
      <c r="I5" s="180">
        <f>'zużycie całkowite i emisja'!D133</f>
        <v>270</v>
      </c>
    </row>
    <row r="6" spans="1:9" x14ac:dyDescent="0.25">
      <c r="A6" s="286"/>
      <c r="B6" s="286" t="s">
        <v>88</v>
      </c>
      <c r="C6" s="286" t="s">
        <v>89</v>
      </c>
      <c r="D6" s="286" t="s">
        <v>90</v>
      </c>
      <c r="E6" s="286" t="s">
        <v>157</v>
      </c>
      <c r="F6" s="286" t="s">
        <v>158</v>
      </c>
      <c r="G6" s="286" t="s">
        <v>91</v>
      </c>
      <c r="H6" s="286" t="s">
        <v>92</v>
      </c>
      <c r="I6" s="286" t="s">
        <v>93</v>
      </c>
    </row>
    <row r="7" spans="1:9" x14ac:dyDescent="0.25">
      <c r="A7" s="91" t="s">
        <v>95</v>
      </c>
      <c r="B7" s="95">
        <f>B4</f>
        <v>223.56000000000006</v>
      </c>
      <c r="C7" s="95">
        <f>B7*0.277777</f>
        <v>62.099826120000017</v>
      </c>
      <c r="D7" s="95">
        <f>$C$7*D5</f>
        <v>21.486539837520006</v>
      </c>
      <c r="E7" s="95">
        <f>($B$7*E5)/1000000</f>
        <v>0.20120400000000005</v>
      </c>
      <c r="F7" s="95">
        <f>($B$7*F5)/1000000</f>
        <v>2.9062800000000007E-2</v>
      </c>
      <c r="G7" s="95">
        <f>($B$7*G5)/1000000</f>
        <v>8.4952800000000023E-2</v>
      </c>
      <c r="H7" s="95">
        <f>($B$7*H5)/1000000</f>
        <v>8.0481600000000014E-2</v>
      </c>
      <c r="I7" s="95">
        <f>($B$7*I5)/1000000</f>
        <v>6.0361200000000018E-2</v>
      </c>
    </row>
  </sheetData>
  <mergeCells count="2">
    <mergeCell ref="A1:B1"/>
    <mergeCell ref="D3:I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T39" sqref="T39"/>
    </sheetView>
  </sheetViews>
  <sheetFormatPr defaultRowHeight="15" x14ac:dyDescent="0.25"/>
  <cols>
    <col min="1" max="1" width="43.85546875" style="163" bestFit="1" customWidth="1"/>
    <col min="2" max="2" width="37.42578125" style="163" bestFit="1" customWidth="1"/>
    <col min="3" max="3" width="9.5703125" style="163" bestFit="1" customWidth="1"/>
    <col min="4" max="5" width="15.28515625" style="163" customWidth="1"/>
    <col min="6" max="6" width="17" style="163" customWidth="1"/>
    <col min="7" max="7" width="18" style="163" customWidth="1"/>
    <col min="8" max="8" width="12.7109375" style="163" bestFit="1" customWidth="1"/>
    <col min="9" max="9" width="13.42578125" style="163" bestFit="1" customWidth="1"/>
    <col min="10" max="16384" width="9.140625" style="163"/>
  </cols>
  <sheetData>
    <row r="1" spans="1:9" x14ac:dyDescent="0.25">
      <c r="A1" s="284" t="s">
        <v>176</v>
      </c>
      <c r="B1" s="285"/>
      <c r="C1" s="74"/>
      <c r="D1" s="74"/>
      <c r="E1" s="74"/>
      <c r="F1" s="74"/>
      <c r="G1" s="74"/>
    </row>
    <row r="2" spans="1:9" x14ac:dyDescent="0.25">
      <c r="A2" s="91" t="s">
        <v>168</v>
      </c>
      <c r="B2" s="180">
        <v>726.8</v>
      </c>
      <c r="C2" s="74"/>
      <c r="D2" s="74"/>
      <c r="E2" s="74"/>
      <c r="F2" s="74"/>
      <c r="G2" s="74"/>
    </row>
    <row r="3" spans="1:9" ht="30" customHeight="1" x14ac:dyDescent="0.25">
      <c r="A3" s="91" t="s">
        <v>85</v>
      </c>
      <c r="B3" s="180">
        <f>B2*0.7</f>
        <v>508.75999999999993</v>
      </c>
      <c r="C3" s="74"/>
      <c r="D3" s="287" t="s">
        <v>169</v>
      </c>
      <c r="E3" s="288"/>
      <c r="F3" s="288"/>
      <c r="G3" s="288"/>
      <c r="H3" s="288"/>
      <c r="I3" s="289"/>
    </row>
    <row r="4" spans="1:9" x14ac:dyDescent="0.25">
      <c r="A4" s="91" t="s">
        <v>96</v>
      </c>
      <c r="B4" s="180">
        <f>B2-B3</f>
        <v>218.04000000000002</v>
      </c>
      <c r="C4" s="74"/>
      <c r="D4" s="286" t="s">
        <v>97</v>
      </c>
      <c r="E4" s="286" t="s">
        <v>170</v>
      </c>
      <c r="F4" s="286" t="s">
        <v>171</v>
      </c>
      <c r="G4" s="286" t="s">
        <v>172</v>
      </c>
      <c r="H4" s="286" t="s">
        <v>173</v>
      </c>
      <c r="I4" s="286" t="s">
        <v>174</v>
      </c>
    </row>
    <row r="5" spans="1:9" ht="32.25" customHeight="1" x14ac:dyDescent="0.25">
      <c r="A5" s="74"/>
      <c r="B5" s="74"/>
      <c r="C5" s="74"/>
      <c r="D5" s="181">
        <f>'zużycie całkowite i emisja'!D44</f>
        <v>0.34599999999999997</v>
      </c>
      <c r="E5" s="182">
        <f>'zużycie całkowite i emisja'!D61</f>
        <v>900</v>
      </c>
      <c r="F5" s="182">
        <f>'zużycie całkowite i emisja'!D79</f>
        <v>130</v>
      </c>
      <c r="G5" s="180">
        <f>'zużycie całkowite i emisja'!D97</f>
        <v>380</v>
      </c>
      <c r="H5" s="180">
        <f>'zużycie całkowite i emisja'!D115</f>
        <v>360</v>
      </c>
      <c r="I5" s="180">
        <f>'zużycie całkowite i emisja'!D133</f>
        <v>270</v>
      </c>
    </row>
    <row r="6" spans="1:9" x14ac:dyDescent="0.25">
      <c r="A6" s="286"/>
      <c r="B6" s="286" t="s">
        <v>88</v>
      </c>
      <c r="C6" s="286" t="s">
        <v>89</v>
      </c>
      <c r="D6" s="286" t="s">
        <v>90</v>
      </c>
      <c r="E6" s="286" t="s">
        <v>157</v>
      </c>
      <c r="F6" s="286" t="s">
        <v>158</v>
      </c>
      <c r="G6" s="286" t="s">
        <v>91</v>
      </c>
      <c r="H6" s="286" t="s">
        <v>92</v>
      </c>
      <c r="I6" s="286" t="s">
        <v>93</v>
      </c>
    </row>
    <row r="7" spans="1:9" x14ac:dyDescent="0.25">
      <c r="A7" s="91" t="s">
        <v>95</v>
      </c>
      <c r="B7" s="95">
        <f>B4</f>
        <v>218.04000000000002</v>
      </c>
      <c r="C7" s="95">
        <f>B7*0.277777</f>
        <v>60.566497080000005</v>
      </c>
      <c r="D7" s="95">
        <f>$C$7*D5</f>
        <v>20.95600798968</v>
      </c>
      <c r="E7" s="95">
        <f>($B$7*E5)/1000000</f>
        <v>0.19623600000000002</v>
      </c>
      <c r="F7" s="95">
        <f>($B$7*F5)/1000000</f>
        <v>2.8345200000000004E-2</v>
      </c>
      <c r="G7" s="95">
        <f>($B$7*G5)/1000000</f>
        <v>8.2855200000000018E-2</v>
      </c>
      <c r="H7" s="95">
        <f>($B$7*H5)/1000000</f>
        <v>7.8494400000000006E-2</v>
      </c>
      <c r="I7" s="95">
        <f>($B$7*I5)/1000000</f>
        <v>5.8870800000000001E-2</v>
      </c>
    </row>
  </sheetData>
  <mergeCells count="2">
    <mergeCell ref="A1:B1"/>
    <mergeCell ref="D3:I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19" sqref="F19"/>
    </sheetView>
  </sheetViews>
  <sheetFormatPr defaultRowHeight="15" x14ac:dyDescent="0.25"/>
  <cols>
    <col min="1" max="1" width="43.85546875" style="163" bestFit="1" customWidth="1"/>
    <col min="2" max="2" width="23.85546875" style="163" customWidth="1"/>
    <col min="3" max="3" width="9.5703125" style="163" bestFit="1" customWidth="1"/>
    <col min="4" max="4" width="19.5703125" style="163" customWidth="1"/>
    <col min="5" max="5" width="15.28515625" style="163" customWidth="1"/>
    <col min="6" max="6" width="17" style="163" customWidth="1"/>
    <col min="7" max="7" width="18" style="163" customWidth="1"/>
    <col min="8" max="8" width="12.7109375" style="163" bestFit="1" customWidth="1"/>
    <col min="9" max="9" width="13.42578125" style="163" bestFit="1" customWidth="1"/>
    <col min="10" max="16384" width="9.140625" style="163"/>
  </cols>
  <sheetData>
    <row r="1" spans="1:9" x14ac:dyDescent="0.25">
      <c r="A1" s="284" t="s">
        <v>207</v>
      </c>
      <c r="B1" s="285"/>
      <c r="C1" s="196"/>
      <c r="D1" s="196"/>
      <c r="E1" s="196"/>
      <c r="F1" s="196"/>
      <c r="G1" s="196"/>
    </row>
    <row r="2" spans="1:9" x14ac:dyDescent="0.25">
      <c r="A2" s="198" t="s">
        <v>168</v>
      </c>
      <c r="B2" s="180">
        <v>219.5</v>
      </c>
      <c r="C2" s="196"/>
      <c r="D2" s="196"/>
      <c r="E2" s="196"/>
      <c r="F2" s="196"/>
      <c r="G2" s="196"/>
    </row>
    <row r="3" spans="1:9" ht="30" customHeight="1" x14ac:dyDescent="0.25">
      <c r="A3" s="198" t="s">
        <v>85</v>
      </c>
      <c r="B3" s="198">
        <f>B2*0.7</f>
        <v>153.64999999999998</v>
      </c>
      <c r="C3" s="196"/>
      <c r="D3" s="291" t="s">
        <v>206</v>
      </c>
      <c r="E3" s="291"/>
      <c r="F3" s="291"/>
      <c r="G3" s="291"/>
      <c r="H3" s="291"/>
      <c r="I3" s="291"/>
    </row>
    <row r="4" spans="1:9" x14ac:dyDescent="0.25">
      <c r="A4" s="198" t="s">
        <v>96</v>
      </c>
      <c r="B4" s="198">
        <f>B2-B3</f>
        <v>65.850000000000023</v>
      </c>
      <c r="C4" s="196"/>
      <c r="D4" s="286" t="s">
        <v>97</v>
      </c>
      <c r="E4" s="286" t="s">
        <v>170</v>
      </c>
      <c r="F4" s="286" t="s">
        <v>171</v>
      </c>
      <c r="G4" s="286" t="s">
        <v>172</v>
      </c>
      <c r="H4" s="286" t="s">
        <v>173</v>
      </c>
      <c r="I4" s="286" t="s">
        <v>174</v>
      </c>
    </row>
    <row r="5" spans="1:9" ht="32.25" customHeight="1" x14ac:dyDescent="0.25">
      <c r="A5" s="196"/>
      <c r="B5" s="196"/>
      <c r="C5" s="196"/>
      <c r="D5" s="181">
        <f>'zużycie całkowite i emisja'!E44</f>
        <v>0.27900000000000003</v>
      </c>
      <c r="E5" s="83">
        <f>'zużycie całkowite i emisja'!E61</f>
        <v>140</v>
      </c>
      <c r="F5" s="83">
        <f>'zużycie całkowite i emisja'!E79</f>
        <v>70</v>
      </c>
      <c r="G5" s="181">
        <f>'zużycie całkowite i emisja'!E97</f>
        <v>3</v>
      </c>
      <c r="H5" s="181">
        <f>'zużycie całkowite i emisja'!E115</f>
        <v>3</v>
      </c>
      <c r="I5" s="181">
        <f>'zużycie całkowite i emisja'!E133</f>
        <v>10</v>
      </c>
    </row>
    <row r="6" spans="1:9" x14ac:dyDescent="0.25">
      <c r="A6" s="286"/>
      <c r="B6" s="286" t="s">
        <v>88</v>
      </c>
      <c r="C6" s="286" t="s">
        <v>89</v>
      </c>
      <c r="D6" s="286" t="s">
        <v>90</v>
      </c>
      <c r="E6" s="286" t="s">
        <v>157</v>
      </c>
      <c r="F6" s="286" t="s">
        <v>158</v>
      </c>
      <c r="G6" s="286" t="s">
        <v>91</v>
      </c>
      <c r="H6" s="286" t="s">
        <v>92</v>
      </c>
      <c r="I6" s="286" t="s">
        <v>93</v>
      </c>
    </row>
    <row r="7" spans="1:9" x14ac:dyDescent="0.25">
      <c r="A7" s="198" t="s">
        <v>94</v>
      </c>
      <c r="B7" s="199">
        <f>B4</f>
        <v>65.850000000000023</v>
      </c>
      <c r="C7" s="199">
        <f>B7*0.277777</f>
        <v>18.291615450000005</v>
      </c>
      <c r="D7" s="199">
        <f>$C$7*D5</f>
        <v>5.1033607105500023</v>
      </c>
      <c r="E7" s="199">
        <f>($B$7*E5)/1000000</f>
        <v>9.2190000000000032E-3</v>
      </c>
      <c r="F7" s="199">
        <f>($B$7*F5)/1000000</f>
        <v>4.6095000000000016E-3</v>
      </c>
      <c r="G7" s="199">
        <f>($B$7*G5)/1000000</f>
        <v>1.9755000000000006E-4</v>
      </c>
      <c r="H7" s="199">
        <f>($B$7*H5)/1000000</f>
        <v>1.9755000000000006E-4</v>
      </c>
      <c r="I7" s="199">
        <f>($B$7*I5)/1000000</f>
        <v>6.5850000000000023E-4</v>
      </c>
    </row>
    <row r="9" spans="1:9" x14ac:dyDescent="0.25">
      <c r="C9" s="196"/>
      <c r="D9" s="196"/>
      <c r="E9" s="196"/>
      <c r="F9" s="196"/>
      <c r="G9" s="196"/>
    </row>
  </sheetData>
  <mergeCells count="2">
    <mergeCell ref="A1:B1"/>
    <mergeCell ref="D3:I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8" workbookViewId="0">
      <selection activeCell="F41" sqref="F41"/>
    </sheetView>
  </sheetViews>
  <sheetFormatPr defaultRowHeight="15" x14ac:dyDescent="0.25"/>
  <cols>
    <col min="1" max="1" width="50.5703125" bestFit="1" customWidth="1"/>
    <col min="2" max="2" width="45.28515625" customWidth="1"/>
    <col min="3" max="3" width="29.140625" customWidth="1"/>
    <col min="4" max="4" width="32.28515625" bestFit="1" customWidth="1"/>
    <col min="5" max="5" width="19" bestFit="1" customWidth="1"/>
    <col min="6" max="6" width="34.7109375" bestFit="1" customWidth="1"/>
  </cols>
  <sheetData>
    <row r="1" spans="1:5" x14ac:dyDescent="0.25">
      <c r="A1" s="284" t="s">
        <v>209</v>
      </c>
      <c r="B1" s="292"/>
      <c r="C1" s="292"/>
      <c r="D1" s="285"/>
      <c r="E1" s="59"/>
    </row>
    <row r="2" spans="1:5" x14ac:dyDescent="0.25">
      <c r="A2" s="246" t="s">
        <v>177</v>
      </c>
      <c r="B2" s="247"/>
      <c r="C2" s="247"/>
      <c r="D2" s="248"/>
      <c r="E2" s="59"/>
    </row>
    <row r="3" spans="1:5" x14ac:dyDescent="0.25">
      <c r="A3" s="242"/>
      <c r="B3" s="242" t="s">
        <v>108</v>
      </c>
      <c r="C3" s="242" t="s">
        <v>129</v>
      </c>
      <c r="D3" s="286" t="s">
        <v>150</v>
      </c>
      <c r="E3" s="59"/>
    </row>
    <row r="4" spans="1:5" x14ac:dyDescent="0.25">
      <c r="A4" s="85" t="s">
        <v>84</v>
      </c>
      <c r="B4" s="167">
        <v>80.3</v>
      </c>
      <c r="C4" s="167">
        <v>80.3</v>
      </c>
      <c r="D4" s="167">
        <v>80.3</v>
      </c>
      <c r="E4" s="59"/>
    </row>
    <row r="5" spans="1:5" x14ac:dyDescent="0.25">
      <c r="A5" s="85" t="s">
        <v>107</v>
      </c>
      <c r="B5" s="86">
        <v>15.4</v>
      </c>
      <c r="C5" s="86">
        <v>15.4</v>
      </c>
      <c r="D5" s="86">
        <v>15.4</v>
      </c>
      <c r="E5" s="59"/>
    </row>
    <row r="6" spans="1:5" x14ac:dyDescent="0.25">
      <c r="A6" s="87" t="s">
        <v>63</v>
      </c>
      <c r="B6" s="86">
        <f>SUM(B4:B5)</f>
        <v>95.7</v>
      </c>
      <c r="C6" s="86">
        <f>SUM(C4:C5)</f>
        <v>95.7</v>
      </c>
      <c r="D6" s="86">
        <f>SUM(D4:D5)</f>
        <v>95.7</v>
      </c>
      <c r="E6" s="59"/>
    </row>
    <row r="7" spans="1:5" x14ac:dyDescent="0.25">
      <c r="A7" s="87" t="s">
        <v>102</v>
      </c>
      <c r="B7" s="88">
        <v>0.65</v>
      </c>
      <c r="C7" s="88">
        <v>0.9</v>
      </c>
      <c r="D7" s="91">
        <v>0.85</v>
      </c>
      <c r="E7" s="59"/>
    </row>
    <row r="8" spans="1:5" x14ac:dyDescent="0.25">
      <c r="A8" s="87" t="s">
        <v>103</v>
      </c>
      <c r="B8" s="86">
        <v>0.85</v>
      </c>
      <c r="C8" s="86">
        <v>0.85</v>
      </c>
      <c r="D8" s="86">
        <v>0.85</v>
      </c>
      <c r="E8" s="59"/>
    </row>
    <row r="9" spans="1:5" x14ac:dyDescent="0.25">
      <c r="A9" s="87" t="s">
        <v>104</v>
      </c>
      <c r="B9" s="88">
        <f>B7*B8</f>
        <v>0.55249999999999999</v>
      </c>
      <c r="C9" s="88">
        <f>C7*C8</f>
        <v>0.76500000000000001</v>
      </c>
      <c r="D9" s="88">
        <f>D7*D8</f>
        <v>0.72249999999999992</v>
      </c>
      <c r="E9" s="59"/>
    </row>
    <row r="10" spans="1:5" x14ac:dyDescent="0.25">
      <c r="A10" s="87" t="s">
        <v>105</v>
      </c>
      <c r="B10" s="88">
        <f>B6/B9</f>
        <v>173.21266968325793</v>
      </c>
      <c r="C10" s="88">
        <f>C6/C9</f>
        <v>125.09803921568627</v>
      </c>
      <c r="D10" s="88">
        <f>D6/D9</f>
        <v>132.45674740484432</v>
      </c>
      <c r="E10" s="59"/>
    </row>
    <row r="11" spans="1:5" x14ac:dyDescent="0.25">
      <c r="A11" s="87" t="s">
        <v>106</v>
      </c>
      <c r="B11" s="88">
        <f>B10*0.2777777778</f>
        <v>48.114630471420817</v>
      </c>
      <c r="C11" s="88">
        <f>C10*0.2777777778</f>
        <v>34.74945534047059</v>
      </c>
      <c r="D11" s="88">
        <f>D10*0.2777777778</f>
        <v>36.793540948733572</v>
      </c>
      <c r="E11" s="59"/>
    </row>
    <row r="12" spans="1:5" x14ac:dyDescent="0.25">
      <c r="A12" s="246" t="s">
        <v>115</v>
      </c>
      <c r="B12" s="247"/>
      <c r="C12" s="247"/>
      <c r="D12" s="248"/>
      <c r="E12" s="59"/>
    </row>
    <row r="13" spans="1:5" x14ac:dyDescent="0.25">
      <c r="A13" s="242"/>
      <c r="B13" s="242" t="s">
        <v>116</v>
      </c>
      <c r="C13" s="242" t="s">
        <v>129</v>
      </c>
      <c r="D13" s="286" t="s">
        <v>150</v>
      </c>
      <c r="E13" s="59"/>
    </row>
    <row r="14" spans="1:5" x14ac:dyDescent="0.25">
      <c r="A14" s="93" t="s">
        <v>114</v>
      </c>
      <c r="B14" s="89">
        <v>91000</v>
      </c>
      <c r="C14" s="89">
        <v>92000</v>
      </c>
      <c r="D14" s="90">
        <v>0</v>
      </c>
      <c r="E14" s="59"/>
    </row>
    <row r="15" spans="1:5" s="44" customFormat="1" x14ac:dyDescent="0.25">
      <c r="A15" s="93" t="s">
        <v>146</v>
      </c>
      <c r="B15" s="89">
        <v>400</v>
      </c>
      <c r="C15" s="89">
        <v>0</v>
      </c>
      <c r="D15" s="90">
        <v>0</v>
      </c>
      <c r="E15" s="59"/>
    </row>
    <row r="16" spans="1:5" s="44" customFormat="1" x14ac:dyDescent="0.25">
      <c r="A16" s="93" t="s">
        <v>147</v>
      </c>
      <c r="B16" s="89">
        <v>110</v>
      </c>
      <c r="C16" s="89">
        <v>150</v>
      </c>
      <c r="D16" s="90">
        <v>100</v>
      </c>
      <c r="E16" s="59"/>
    </row>
    <row r="17" spans="1:5" x14ac:dyDescent="0.25">
      <c r="A17" s="99" t="s">
        <v>111</v>
      </c>
      <c r="B17" s="90">
        <v>404</v>
      </c>
      <c r="C17" s="89">
        <v>15.79</v>
      </c>
      <c r="D17" s="90">
        <v>18</v>
      </c>
      <c r="E17" s="59"/>
    </row>
    <row r="18" spans="1:5" x14ac:dyDescent="0.25">
      <c r="A18" s="85" t="s">
        <v>112</v>
      </c>
      <c r="B18" s="91">
        <v>398</v>
      </c>
      <c r="C18" s="89">
        <v>15.55</v>
      </c>
      <c r="D18" s="90">
        <v>17.100000000000001</v>
      </c>
      <c r="E18" s="59"/>
    </row>
    <row r="19" spans="1:5" x14ac:dyDescent="0.25">
      <c r="A19" s="85" t="s">
        <v>113</v>
      </c>
      <c r="B19" s="91">
        <v>0.23</v>
      </c>
      <c r="C19" s="89">
        <v>1.0999999999999999E-2</v>
      </c>
      <c r="D19" s="90">
        <v>5.0000000000000001E-3</v>
      </c>
      <c r="E19" s="59"/>
    </row>
    <row r="20" spans="1:5" x14ac:dyDescent="0.25">
      <c r="A20" s="284" t="s">
        <v>121</v>
      </c>
      <c r="B20" s="292"/>
      <c r="C20" s="292"/>
      <c r="D20" s="285"/>
      <c r="E20" s="59"/>
    </row>
    <row r="21" spans="1:5" s="44" customFormat="1" x14ac:dyDescent="0.25">
      <c r="A21" s="242"/>
      <c r="B21" s="242" t="s">
        <v>116</v>
      </c>
      <c r="C21" s="242" t="s">
        <v>129</v>
      </c>
      <c r="D21" s="286" t="s">
        <v>150</v>
      </c>
      <c r="E21" s="59"/>
    </row>
    <row r="22" spans="1:5" x14ac:dyDescent="0.25">
      <c r="A22" s="93" t="s">
        <v>119</v>
      </c>
      <c r="B22" s="95">
        <f t="shared" ref="B22:B26" si="0">($B$10*B14)/1000000</f>
        <v>15.762352941176472</v>
      </c>
      <c r="C22" s="95">
        <f t="shared" ref="C22:C26" si="1">($C$10*C14)/1000000</f>
        <v>11.509019607843136</v>
      </c>
      <c r="D22" s="95">
        <f t="shared" ref="D22:D26" si="2">($D$10*D14)/1000000</f>
        <v>0</v>
      </c>
      <c r="E22" s="59"/>
    </row>
    <row r="23" spans="1:5" s="44" customFormat="1" x14ac:dyDescent="0.25">
      <c r="A23" s="93" t="s">
        <v>148</v>
      </c>
      <c r="B23" s="95">
        <f t="shared" si="0"/>
        <v>6.9285067873303172E-2</v>
      </c>
      <c r="C23" s="95">
        <f t="shared" si="1"/>
        <v>0</v>
      </c>
      <c r="D23" s="95">
        <f t="shared" si="2"/>
        <v>0</v>
      </c>
      <c r="E23" s="59"/>
    </row>
    <row r="24" spans="1:5" s="44" customFormat="1" x14ac:dyDescent="0.25">
      <c r="A24" s="93" t="s">
        <v>149</v>
      </c>
      <c r="B24" s="95">
        <f t="shared" si="0"/>
        <v>1.9053393665158371E-2</v>
      </c>
      <c r="C24" s="95">
        <f t="shared" si="1"/>
        <v>1.876470588235294E-2</v>
      </c>
      <c r="D24" s="95">
        <f t="shared" si="2"/>
        <v>1.3245674740484431E-2</v>
      </c>
      <c r="E24" s="59"/>
    </row>
    <row r="25" spans="1:5" x14ac:dyDescent="0.25">
      <c r="A25" s="85" t="s">
        <v>117</v>
      </c>
      <c r="B25" s="95">
        <f t="shared" si="0"/>
        <v>6.9977918552036208E-2</v>
      </c>
      <c r="C25" s="95">
        <f t="shared" si="1"/>
        <v>1.9752980392156862E-3</v>
      </c>
      <c r="D25" s="95">
        <f t="shared" si="2"/>
        <v>2.3842214532871974E-3</v>
      </c>
      <c r="E25" s="59"/>
    </row>
    <row r="26" spans="1:5" x14ac:dyDescent="0.25">
      <c r="A26" s="85" t="s">
        <v>118</v>
      </c>
      <c r="B26" s="95">
        <f t="shared" si="0"/>
        <v>6.8938642533936653E-2</v>
      </c>
      <c r="C26" s="95">
        <f t="shared" si="1"/>
        <v>1.9452745098039216E-3</v>
      </c>
      <c r="D26" s="95">
        <f t="shared" si="2"/>
        <v>2.265010380622838E-3</v>
      </c>
      <c r="E26" s="59"/>
    </row>
    <row r="27" spans="1:5" x14ac:dyDescent="0.25">
      <c r="A27" s="85" t="s">
        <v>123</v>
      </c>
      <c r="B27" s="95">
        <f>($B$10*B19)/1000</f>
        <v>3.9838914027149321E-2</v>
      </c>
      <c r="C27" s="95">
        <f>($C$10*C19)/1000</f>
        <v>1.376078431372549E-3</v>
      </c>
      <c r="D27" s="95">
        <f>($D$10*D19)/1000</f>
        <v>6.6228373702422166E-4</v>
      </c>
      <c r="E27" s="59"/>
    </row>
    <row r="28" spans="1:5" x14ac:dyDescent="0.25">
      <c r="A28" s="246" t="s">
        <v>120</v>
      </c>
      <c r="B28" s="247"/>
      <c r="C28" s="247"/>
      <c r="D28" s="248"/>
      <c r="E28" s="59"/>
    </row>
    <row r="29" spans="1:5" s="44" customFormat="1" x14ac:dyDescent="0.25">
      <c r="A29" s="242"/>
      <c r="B29" s="242" t="s">
        <v>116</v>
      </c>
      <c r="C29" s="242" t="s">
        <v>129</v>
      </c>
      <c r="D29" s="286" t="s">
        <v>150</v>
      </c>
      <c r="E29" s="59"/>
    </row>
    <row r="30" spans="1:5" x14ac:dyDescent="0.25">
      <c r="A30" s="92" t="s">
        <v>110</v>
      </c>
      <c r="B30" s="85"/>
      <c r="C30" s="88">
        <f>B10-C10</f>
        <v>48.114630467571658</v>
      </c>
      <c r="D30" s="88">
        <f>B10-D10</f>
        <v>40.755922278413607</v>
      </c>
      <c r="E30" s="59"/>
    </row>
    <row r="31" spans="1:5" x14ac:dyDescent="0.25">
      <c r="A31" s="92" t="s">
        <v>109</v>
      </c>
      <c r="B31" s="85"/>
      <c r="C31" s="88">
        <f>B11-C11</f>
        <v>13.365175130950227</v>
      </c>
      <c r="D31" s="88">
        <f>B11-D11</f>
        <v>11.321089522687245</v>
      </c>
      <c r="E31" s="59"/>
    </row>
    <row r="32" spans="1:5" x14ac:dyDescent="0.25">
      <c r="A32" s="93" t="s">
        <v>119</v>
      </c>
      <c r="B32" s="91"/>
      <c r="C32" s="95">
        <f t="shared" ref="C32:C37" si="3">B22-C22</f>
        <v>4.2533333333333356</v>
      </c>
      <c r="D32" s="95">
        <f t="shared" ref="D32:D37" si="4">B22-D22</f>
        <v>15.762352941176472</v>
      </c>
      <c r="E32" s="59"/>
    </row>
    <row r="33" spans="1:5" s="44" customFormat="1" x14ac:dyDescent="0.25">
      <c r="A33" s="93" t="s">
        <v>148</v>
      </c>
      <c r="B33" s="91"/>
      <c r="C33" s="95">
        <f t="shared" si="3"/>
        <v>6.9285067873303172E-2</v>
      </c>
      <c r="D33" s="95">
        <f t="shared" si="4"/>
        <v>6.9285067873303172E-2</v>
      </c>
      <c r="E33" s="59"/>
    </row>
    <row r="34" spans="1:5" s="44" customFormat="1" x14ac:dyDescent="0.25">
      <c r="A34" s="93" t="s">
        <v>149</v>
      </c>
      <c r="B34" s="91"/>
      <c r="C34" s="95">
        <f t="shared" si="3"/>
        <v>2.8868778280543086E-4</v>
      </c>
      <c r="D34" s="95">
        <f t="shared" si="4"/>
        <v>5.8077189246739398E-3</v>
      </c>
      <c r="E34" s="59"/>
    </row>
    <row r="35" spans="1:5" x14ac:dyDescent="0.25">
      <c r="A35" s="85" t="s">
        <v>117</v>
      </c>
      <c r="B35" s="91"/>
      <c r="C35" s="95">
        <f t="shared" si="3"/>
        <v>6.8002620512820522E-2</v>
      </c>
      <c r="D35" s="95">
        <f t="shared" si="4"/>
        <v>6.7593697098749017E-2</v>
      </c>
      <c r="E35" s="59"/>
    </row>
    <row r="36" spans="1:5" x14ac:dyDescent="0.25">
      <c r="A36" s="85" t="s">
        <v>118</v>
      </c>
      <c r="B36" s="91"/>
      <c r="C36" s="95">
        <f t="shared" si="3"/>
        <v>6.6993368024132735E-2</v>
      </c>
      <c r="D36" s="95">
        <f t="shared" si="4"/>
        <v>6.6673632153313817E-2</v>
      </c>
      <c r="E36" s="59"/>
    </row>
    <row r="37" spans="1:5" x14ac:dyDescent="0.25">
      <c r="A37" s="85" t="s">
        <v>123</v>
      </c>
      <c r="B37" s="91"/>
      <c r="C37" s="95">
        <f t="shared" si="3"/>
        <v>3.8462835595776769E-2</v>
      </c>
      <c r="D37" s="95">
        <f t="shared" si="4"/>
        <v>3.9176630290125102E-2</v>
      </c>
      <c r="E37" s="59"/>
    </row>
    <row r="38" spans="1:5" x14ac:dyDescent="0.25">
      <c r="A38" s="246" t="s">
        <v>122</v>
      </c>
      <c r="B38" s="247"/>
      <c r="C38" s="247"/>
      <c r="D38" s="248"/>
      <c r="E38" s="59"/>
    </row>
    <row r="39" spans="1:5" x14ac:dyDescent="0.25">
      <c r="A39" s="242"/>
      <c r="B39" s="242" t="s">
        <v>116</v>
      </c>
      <c r="C39" s="242" t="s">
        <v>129</v>
      </c>
      <c r="D39" s="286" t="s">
        <v>150</v>
      </c>
      <c r="E39" s="59"/>
    </row>
    <row r="40" spans="1:5" x14ac:dyDescent="0.25">
      <c r="A40" s="286" t="s">
        <v>195</v>
      </c>
      <c r="B40" s="286"/>
      <c r="C40" s="286">
        <v>434</v>
      </c>
      <c r="D40" s="218">
        <v>42</v>
      </c>
      <c r="E40" s="59"/>
    </row>
    <row r="41" spans="1:5" s="163" customFormat="1" x14ac:dyDescent="0.25">
      <c r="A41" s="286" t="s">
        <v>193</v>
      </c>
      <c r="B41" s="286"/>
      <c r="C41" s="286">
        <v>217</v>
      </c>
      <c r="D41" s="218">
        <v>21</v>
      </c>
      <c r="E41" s="59"/>
    </row>
    <row r="42" spans="1:5" x14ac:dyDescent="0.25">
      <c r="A42" s="92" t="s">
        <v>110</v>
      </c>
      <c r="B42" s="91"/>
      <c r="C42" s="95">
        <f>C30*$C$41</f>
        <v>10440.874811463049</v>
      </c>
      <c r="D42" s="95">
        <f>D30*$D$41</f>
        <v>855.8743678466858</v>
      </c>
      <c r="E42" s="59"/>
    </row>
    <row r="43" spans="1:5" x14ac:dyDescent="0.25">
      <c r="A43" s="92" t="s">
        <v>109</v>
      </c>
      <c r="B43" s="91"/>
      <c r="C43" s="95">
        <f t="shared" ref="C43:C49" si="5">C31*$C$41</f>
        <v>2900.2430034161994</v>
      </c>
      <c r="D43" s="95">
        <f t="shared" ref="D43:D49" si="6">D31*$D$41</f>
        <v>237.74287997643216</v>
      </c>
      <c r="E43" s="59"/>
    </row>
    <row r="44" spans="1:5" x14ac:dyDescent="0.25">
      <c r="A44" s="93" t="s">
        <v>119</v>
      </c>
      <c r="B44" s="85"/>
      <c r="C44" s="95">
        <f t="shared" si="5"/>
        <v>922.97333333333381</v>
      </c>
      <c r="D44" s="95">
        <f t="shared" si="6"/>
        <v>331.00941176470593</v>
      </c>
      <c r="E44" s="59"/>
    </row>
    <row r="45" spans="1:5" s="44" customFormat="1" x14ac:dyDescent="0.25">
      <c r="A45" s="93" t="s">
        <v>148</v>
      </c>
      <c r="B45" s="85"/>
      <c r="C45" s="95">
        <f t="shared" si="5"/>
        <v>15.034859728506788</v>
      </c>
      <c r="D45" s="95">
        <f t="shared" si="6"/>
        <v>1.4549864253393665</v>
      </c>
      <c r="E45" s="59"/>
    </row>
    <row r="46" spans="1:5" s="44" customFormat="1" x14ac:dyDescent="0.25">
      <c r="A46" s="93" t="s">
        <v>149</v>
      </c>
      <c r="B46" s="85"/>
      <c r="C46" s="95">
        <f t="shared" si="5"/>
        <v>6.2645248868778494E-2</v>
      </c>
      <c r="D46" s="95">
        <f t="shared" si="6"/>
        <v>0.12196209741815274</v>
      </c>
      <c r="E46" s="59"/>
    </row>
    <row r="47" spans="1:5" x14ac:dyDescent="0.25">
      <c r="A47" s="85" t="s">
        <v>117</v>
      </c>
      <c r="B47" s="85"/>
      <c r="C47" s="95">
        <f t="shared" si="5"/>
        <v>14.756568651282054</v>
      </c>
      <c r="D47" s="95">
        <f t="shared" si="6"/>
        <v>1.4194676390737293</v>
      </c>
      <c r="E47" s="59"/>
    </row>
    <row r="48" spans="1:5" x14ac:dyDescent="0.25">
      <c r="A48" s="85" t="s">
        <v>118</v>
      </c>
      <c r="B48" s="85"/>
      <c r="C48" s="95">
        <f t="shared" si="5"/>
        <v>14.537560861236804</v>
      </c>
      <c r="D48" s="95">
        <f t="shared" si="6"/>
        <v>1.4001462752195901</v>
      </c>
      <c r="E48" s="59"/>
    </row>
    <row r="49" spans="1:5" x14ac:dyDescent="0.25">
      <c r="A49" s="85" t="s">
        <v>123</v>
      </c>
      <c r="B49" s="85"/>
      <c r="C49" s="95">
        <f t="shared" si="5"/>
        <v>8.3464353242835596</v>
      </c>
      <c r="D49" s="95">
        <f t="shared" si="6"/>
        <v>0.82270923609262714</v>
      </c>
      <c r="E49" s="59"/>
    </row>
    <row r="50" spans="1:5" x14ac:dyDescent="0.25">
      <c r="A50" s="286" t="s">
        <v>194</v>
      </c>
      <c r="B50" s="286"/>
      <c r="C50" s="286">
        <v>217</v>
      </c>
      <c r="D50" s="218">
        <v>21</v>
      </c>
      <c r="E50" s="59"/>
    </row>
    <row r="51" spans="1:5" x14ac:dyDescent="0.25">
      <c r="A51" s="92" t="s">
        <v>110</v>
      </c>
      <c r="B51" s="91"/>
      <c r="C51" s="95">
        <f>C30*$C$50</f>
        <v>10440.874811463049</v>
      </c>
      <c r="D51" s="95">
        <f>D30*$D$50</f>
        <v>855.8743678466858</v>
      </c>
      <c r="E51" s="59"/>
    </row>
    <row r="52" spans="1:5" x14ac:dyDescent="0.25">
      <c r="A52" s="92" t="s">
        <v>109</v>
      </c>
      <c r="B52" s="91"/>
      <c r="C52" s="95">
        <f t="shared" ref="C52:C58" si="7">C31*$C$50</f>
        <v>2900.2430034161994</v>
      </c>
      <c r="D52" s="95">
        <f t="shared" ref="D52:D58" si="8">D31*$D$50</f>
        <v>237.74287997643216</v>
      </c>
      <c r="E52" s="59"/>
    </row>
    <row r="53" spans="1:5" x14ac:dyDescent="0.25">
      <c r="A53" s="93" t="s">
        <v>119</v>
      </c>
      <c r="B53" s="85"/>
      <c r="C53" s="95">
        <f t="shared" si="7"/>
        <v>922.97333333333381</v>
      </c>
      <c r="D53" s="95">
        <f t="shared" si="8"/>
        <v>331.00941176470593</v>
      </c>
      <c r="E53" s="59"/>
    </row>
    <row r="54" spans="1:5" x14ac:dyDescent="0.25">
      <c r="A54" s="93" t="s">
        <v>148</v>
      </c>
      <c r="B54" s="85"/>
      <c r="C54" s="95">
        <f t="shared" si="7"/>
        <v>15.034859728506788</v>
      </c>
      <c r="D54" s="95">
        <f t="shared" si="8"/>
        <v>1.4549864253393665</v>
      </c>
      <c r="E54" s="59"/>
    </row>
    <row r="55" spans="1:5" x14ac:dyDescent="0.25">
      <c r="A55" s="93" t="s">
        <v>149</v>
      </c>
      <c r="B55" s="85"/>
      <c r="C55" s="95">
        <f t="shared" si="7"/>
        <v>6.2645248868778494E-2</v>
      </c>
      <c r="D55" s="95">
        <f t="shared" si="8"/>
        <v>0.12196209741815274</v>
      </c>
      <c r="E55" s="59"/>
    </row>
    <row r="56" spans="1:5" x14ac:dyDescent="0.25">
      <c r="A56" s="85" t="s">
        <v>117</v>
      </c>
      <c r="B56" s="85"/>
      <c r="C56" s="95">
        <f t="shared" si="7"/>
        <v>14.756568651282054</v>
      </c>
      <c r="D56" s="95">
        <f t="shared" si="8"/>
        <v>1.4194676390737293</v>
      </c>
      <c r="E56" s="59"/>
    </row>
    <row r="57" spans="1:5" x14ac:dyDescent="0.25">
      <c r="A57" s="85" t="s">
        <v>118</v>
      </c>
      <c r="B57" s="85"/>
      <c r="C57" s="95">
        <f t="shared" si="7"/>
        <v>14.537560861236804</v>
      </c>
      <c r="D57" s="95">
        <f t="shared" si="8"/>
        <v>1.4001462752195901</v>
      </c>
    </row>
    <row r="58" spans="1:5" x14ac:dyDescent="0.25">
      <c r="A58" s="85" t="s">
        <v>123</v>
      </c>
      <c r="B58" s="85"/>
      <c r="C58" s="95">
        <f t="shared" si="7"/>
        <v>8.3464353242835596</v>
      </c>
      <c r="D58" s="95">
        <f t="shared" si="8"/>
        <v>0.82270923609262714</v>
      </c>
    </row>
  </sheetData>
  <mergeCells count="6">
    <mergeCell ref="A38:D38"/>
    <mergeCell ref="A1:D1"/>
    <mergeCell ref="A2:D2"/>
    <mergeCell ref="A12:D12"/>
    <mergeCell ref="A28:D28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K39" sqref="K39"/>
    </sheetView>
  </sheetViews>
  <sheetFormatPr defaultRowHeight="15" x14ac:dyDescent="0.25"/>
  <cols>
    <col min="1" max="1" width="22.5703125" bestFit="1" customWidth="1"/>
    <col min="2" max="2" width="18.5703125" bestFit="1" customWidth="1"/>
  </cols>
  <sheetData>
    <row r="1" spans="1:4" ht="26.25" customHeight="1" x14ac:dyDescent="0.25">
      <c r="A1" s="259" t="s">
        <v>166</v>
      </c>
      <c r="B1" s="260"/>
      <c r="C1" s="25"/>
      <c r="D1" s="18"/>
    </row>
    <row r="2" spans="1:4" x14ac:dyDescent="0.25">
      <c r="A2" s="220"/>
      <c r="B2" s="220" t="s">
        <v>0</v>
      </c>
      <c r="C2" s="25"/>
      <c r="D2" s="18"/>
    </row>
    <row r="3" spans="1:4" x14ac:dyDescent="0.25">
      <c r="A3" s="21" t="s">
        <v>25</v>
      </c>
      <c r="B3" s="24">
        <f>'zużycie całkowite i emisja'!B22</f>
        <v>464.93</v>
      </c>
      <c r="C3" s="25"/>
      <c r="D3" s="18"/>
    </row>
    <row r="4" spans="1:4" x14ac:dyDescent="0.25">
      <c r="A4" s="23" t="s">
        <v>26</v>
      </c>
      <c r="B4" s="24">
        <f>'zużycie całkowite i emisja'!B51</f>
        <v>377.52316000000002</v>
      </c>
      <c r="C4" s="25"/>
      <c r="D4" s="18"/>
    </row>
    <row r="5" spans="1:4" x14ac:dyDescent="0.25">
      <c r="A5" s="25"/>
      <c r="B5" s="25"/>
      <c r="C5" s="25"/>
      <c r="D5" s="18"/>
    </row>
    <row r="6" spans="1:4" x14ac:dyDescent="0.25">
      <c r="A6" s="25"/>
      <c r="B6" s="25"/>
      <c r="C6" s="25"/>
      <c r="D6" s="18"/>
    </row>
    <row r="7" spans="1:4" x14ac:dyDescent="0.25">
      <c r="A7" s="18"/>
      <c r="B7" s="18"/>
      <c r="C7" s="18"/>
      <c r="D7" s="18"/>
    </row>
    <row r="8" spans="1:4" x14ac:dyDescent="0.25">
      <c r="A8" s="18"/>
      <c r="B8" s="18"/>
      <c r="C8" s="18"/>
      <c r="D8" s="18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9" sqref="F19"/>
    </sheetView>
  </sheetViews>
  <sheetFormatPr defaultRowHeight="15" x14ac:dyDescent="0.25"/>
  <cols>
    <col min="1" max="1" width="43.85546875" bestFit="1" customWidth="1"/>
    <col min="2" max="2" width="37.42578125" bestFit="1" customWidth="1"/>
    <col min="3" max="3" width="9.5703125" bestFit="1" customWidth="1"/>
    <col min="4" max="5" width="15.28515625" customWidth="1"/>
    <col min="6" max="6" width="17" customWidth="1"/>
    <col min="7" max="7" width="18" customWidth="1"/>
    <col min="8" max="8" width="12.7109375" bestFit="1" customWidth="1"/>
    <col min="9" max="9" width="13.42578125" bestFit="1" customWidth="1"/>
  </cols>
  <sheetData>
    <row r="1" spans="1:9" x14ac:dyDescent="0.25">
      <c r="A1" s="284" t="s">
        <v>208</v>
      </c>
      <c r="B1" s="285"/>
      <c r="C1" s="74"/>
      <c r="D1" s="74"/>
      <c r="E1" s="74"/>
      <c r="F1" s="74"/>
      <c r="G1" s="74"/>
    </row>
    <row r="2" spans="1:9" x14ac:dyDescent="0.25">
      <c r="A2" s="198" t="s">
        <v>84</v>
      </c>
      <c r="B2" s="198">
        <v>80.3</v>
      </c>
      <c r="C2" s="74"/>
      <c r="D2" s="74"/>
      <c r="E2" s="74"/>
      <c r="F2" s="74"/>
      <c r="G2" s="74"/>
    </row>
    <row r="3" spans="1:9" x14ac:dyDescent="0.25">
      <c r="A3" s="198" t="s">
        <v>85</v>
      </c>
      <c r="B3" s="198">
        <f>B2*0.7</f>
        <v>56.209999999999994</v>
      </c>
      <c r="C3" s="74"/>
      <c r="D3" s="74"/>
      <c r="E3" s="74"/>
      <c r="F3" s="74"/>
      <c r="G3" s="74"/>
    </row>
    <row r="4" spans="1:9" x14ac:dyDescent="0.25">
      <c r="A4" s="198" t="s">
        <v>96</v>
      </c>
      <c r="B4" s="198">
        <f>B2-B3</f>
        <v>24.090000000000003</v>
      </c>
      <c r="C4" s="74"/>
      <c r="D4" s="74"/>
      <c r="E4" s="74"/>
      <c r="F4" s="74"/>
      <c r="G4" s="74"/>
    </row>
    <row r="5" spans="1:9" x14ac:dyDescent="0.25">
      <c r="A5" s="198" t="s">
        <v>86</v>
      </c>
      <c r="B5" s="198">
        <v>448</v>
      </c>
      <c r="C5" s="74"/>
      <c r="D5" s="74"/>
      <c r="E5" s="74"/>
      <c r="F5" s="74"/>
      <c r="G5" s="74"/>
    </row>
    <row r="6" spans="1:9" ht="20.25" customHeight="1" x14ac:dyDescent="0.25">
      <c r="A6" s="198" t="s">
        <v>196</v>
      </c>
      <c r="B6" s="200">
        <v>224</v>
      </c>
    </row>
    <row r="7" spans="1:9" x14ac:dyDescent="0.25">
      <c r="A7" s="198" t="s">
        <v>197</v>
      </c>
      <c r="B7" s="195">
        <v>224</v>
      </c>
    </row>
    <row r="8" spans="1:9" x14ac:dyDescent="0.25">
      <c r="A8" s="196"/>
      <c r="B8" s="196"/>
      <c r="C8" s="74"/>
      <c r="D8" s="291" t="s">
        <v>161</v>
      </c>
      <c r="E8" s="291"/>
      <c r="F8" s="291"/>
      <c r="G8" s="291"/>
      <c r="H8" s="291"/>
      <c r="I8" s="291"/>
    </row>
    <row r="9" spans="1:9" x14ac:dyDescent="0.25">
      <c r="A9" s="196"/>
      <c r="B9" s="196"/>
      <c r="C9" s="74"/>
      <c r="D9" s="286" t="s">
        <v>97</v>
      </c>
      <c r="E9" s="286" t="s">
        <v>159</v>
      </c>
      <c r="F9" s="286" t="s">
        <v>160</v>
      </c>
      <c r="G9" s="286" t="s">
        <v>98</v>
      </c>
      <c r="H9" s="286" t="s">
        <v>99</v>
      </c>
      <c r="I9" s="286" t="s">
        <v>100</v>
      </c>
    </row>
    <row r="10" spans="1:9" x14ac:dyDescent="0.25">
      <c r="A10" s="74"/>
      <c r="B10" s="74"/>
      <c r="C10" s="74"/>
      <c r="D10" s="94">
        <f>'zużycie całkowite i emisja'!K49/'zużycie całkowite i emisja'!K20</f>
        <v>0.31323728037308141</v>
      </c>
      <c r="E10" s="100">
        <f>'zużycie całkowite i emisja'!H67/'zużycie całkowite i emisja'!K20</f>
        <v>2.5076849139628482E-3</v>
      </c>
      <c r="F10" s="100">
        <f>'zużycie całkowite i emisja'!H85/'zużycie całkowite i emisja'!K20</f>
        <v>4.1001915097307954E-4</v>
      </c>
      <c r="G10" s="94">
        <f>'zużycie całkowite i emisja'!H103/'zużycie całkowite i emisja'!K20</f>
        <v>1.7031550254700029E-3</v>
      </c>
      <c r="H10" s="94">
        <f>'zużycie całkowite i emisja'!H121/'zużycie całkowite i emisja'!K20</f>
        <v>1.6476823863510578E-3</v>
      </c>
      <c r="I10" s="94">
        <f>('zużycie całkowite i emisja'!H139/'zużycie całkowite i emisja'!K20)/1000</f>
        <v>9.4943500939569047E-10</v>
      </c>
    </row>
    <row r="11" spans="1:9" x14ac:dyDescent="0.25">
      <c r="A11" s="286"/>
      <c r="B11" s="286" t="s">
        <v>88</v>
      </c>
      <c r="C11" s="286" t="s">
        <v>89</v>
      </c>
      <c r="D11" s="286" t="s">
        <v>90</v>
      </c>
      <c r="E11" s="286" t="s">
        <v>157</v>
      </c>
      <c r="F11" s="286" t="s">
        <v>158</v>
      </c>
      <c r="G11" s="286" t="s">
        <v>91</v>
      </c>
      <c r="H11" s="286" t="s">
        <v>92</v>
      </c>
      <c r="I11" s="286" t="s">
        <v>93</v>
      </c>
    </row>
    <row r="12" spans="1:9" x14ac:dyDescent="0.25">
      <c r="A12" s="197" t="s">
        <v>94</v>
      </c>
      <c r="B12" s="95">
        <f>B4*B6</f>
        <v>5396.1600000000008</v>
      </c>
      <c r="C12" s="95">
        <f>B12*0.277777</f>
        <v>1498.9291363200002</v>
      </c>
      <c r="D12" s="95">
        <f t="shared" ref="D12:I12" si="0">$C$12*D10</f>
        <v>469.52048613284865</v>
      </c>
      <c r="E12" s="95">
        <f t="shared" si="0"/>
        <v>3.758841982249026</v>
      </c>
      <c r="F12" s="95">
        <f t="shared" si="0"/>
        <v>0.61458965184273795</v>
      </c>
      <c r="G12" s="95">
        <f t="shared" si="0"/>
        <v>2.5529086913468193</v>
      </c>
      <c r="H12" s="95">
        <f t="shared" si="0"/>
        <v>2.4697591363028679</v>
      </c>
      <c r="I12" s="95">
        <f t="shared" si="0"/>
        <v>1.4231357986254536E-6</v>
      </c>
    </row>
    <row r="13" spans="1:9" x14ac:dyDescent="0.25">
      <c r="A13" s="197" t="s">
        <v>95</v>
      </c>
      <c r="B13" s="199">
        <f>B4*B7</f>
        <v>5396.1600000000008</v>
      </c>
      <c r="C13" s="199">
        <f>B13*0.277777</f>
        <v>1498.9291363200002</v>
      </c>
      <c r="D13" s="199">
        <f>$C$13*D10</f>
        <v>469.52048613284865</v>
      </c>
      <c r="E13" s="199">
        <f>$C$13*E10</f>
        <v>3.758841982249026</v>
      </c>
      <c r="F13" s="199">
        <f t="shared" ref="F13:I13" si="1">$C$13*F10</f>
        <v>0.61458965184273795</v>
      </c>
      <c r="G13" s="199">
        <f>$C$13*G10</f>
        <v>2.5529086913468193</v>
      </c>
      <c r="H13" s="199">
        <f t="shared" si="1"/>
        <v>2.4697591363028679</v>
      </c>
      <c r="I13" s="199">
        <f t="shared" si="1"/>
        <v>1.4231357986254536E-6</v>
      </c>
    </row>
  </sheetData>
  <mergeCells count="2">
    <mergeCell ref="A1:B1"/>
    <mergeCell ref="D8:I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6" sqref="B6"/>
    </sheetView>
  </sheetViews>
  <sheetFormatPr defaultRowHeight="15" x14ac:dyDescent="0.25"/>
  <cols>
    <col min="1" max="1" width="43.85546875" bestFit="1" customWidth="1"/>
    <col min="4" max="4" width="19.85546875" customWidth="1"/>
    <col min="5" max="5" width="14.42578125" customWidth="1"/>
    <col min="6" max="6" width="26.7109375" customWidth="1"/>
    <col min="7" max="7" width="26" customWidth="1"/>
    <col min="8" max="8" width="14.5703125" customWidth="1"/>
    <col min="9" max="9" width="16.28515625" customWidth="1"/>
  </cols>
  <sheetData>
    <row r="1" spans="1:9" x14ac:dyDescent="0.25">
      <c r="A1" s="290" t="s">
        <v>187</v>
      </c>
      <c r="B1" s="290"/>
      <c r="C1" s="74"/>
      <c r="D1" s="74"/>
      <c r="E1" s="74"/>
      <c r="F1" s="74"/>
      <c r="G1" s="74"/>
    </row>
    <row r="2" spans="1:9" x14ac:dyDescent="0.25">
      <c r="A2" s="198" t="s">
        <v>124</v>
      </c>
      <c r="B2" s="198">
        <v>2.82</v>
      </c>
      <c r="C2" s="74"/>
      <c r="D2" s="74"/>
      <c r="E2" s="74"/>
      <c r="F2" s="74"/>
      <c r="G2" s="74"/>
    </row>
    <row r="3" spans="1:9" x14ac:dyDescent="0.25">
      <c r="A3" s="198" t="s">
        <v>87</v>
      </c>
      <c r="B3" s="198">
        <v>294</v>
      </c>
      <c r="C3" s="74"/>
      <c r="D3" s="74"/>
      <c r="E3" s="74"/>
      <c r="F3" s="74"/>
      <c r="G3" s="74"/>
    </row>
    <row r="4" spans="1:9" ht="15" customHeight="1" x14ac:dyDescent="0.25">
      <c r="A4" s="198" t="s">
        <v>196</v>
      </c>
      <c r="B4" s="200">
        <v>147</v>
      </c>
    </row>
    <row r="5" spans="1:9" x14ac:dyDescent="0.25">
      <c r="A5" s="198" t="s">
        <v>197</v>
      </c>
      <c r="B5" s="200">
        <v>147</v>
      </c>
    </row>
    <row r="6" spans="1:9" x14ac:dyDescent="0.25">
      <c r="A6" s="74"/>
      <c r="B6" s="74"/>
      <c r="C6" s="74"/>
      <c r="D6" s="291" t="s">
        <v>161</v>
      </c>
      <c r="E6" s="291"/>
      <c r="F6" s="291"/>
      <c r="G6" s="291"/>
      <c r="H6" s="291"/>
      <c r="I6" s="291"/>
    </row>
    <row r="7" spans="1:9" x14ac:dyDescent="0.25">
      <c r="A7" s="74"/>
      <c r="B7" s="74"/>
      <c r="C7" s="74"/>
      <c r="D7" s="286" t="s">
        <v>97</v>
      </c>
      <c r="E7" s="286" t="s">
        <v>159</v>
      </c>
      <c r="F7" s="286" t="s">
        <v>160</v>
      </c>
      <c r="G7" s="286" t="s">
        <v>98</v>
      </c>
      <c r="H7" s="286" t="s">
        <v>99</v>
      </c>
      <c r="I7" s="286" t="s">
        <v>100</v>
      </c>
    </row>
    <row r="8" spans="1:9" x14ac:dyDescent="0.25">
      <c r="A8" s="74"/>
      <c r="B8" s="74"/>
      <c r="C8" s="74"/>
      <c r="D8" s="181">
        <f>'zużycie całkowite i emisja'!K49/'zużycie całkowite i emisja'!K20</f>
        <v>0.31323728037308141</v>
      </c>
      <c r="E8" s="83">
        <f>'zużycie całkowite i emisja'!H67/'zużycie całkowite i emisja'!K20</f>
        <v>2.5076849139628482E-3</v>
      </c>
      <c r="F8" s="83">
        <f>'zużycie całkowite i emisja'!H85/'zużycie całkowite i emisja'!K20</f>
        <v>4.1001915097307954E-4</v>
      </c>
      <c r="G8" s="181">
        <f>'zużycie całkowite i emisja'!H103/'zużycie całkowite i emisja'!K20</f>
        <v>1.7031550254700029E-3</v>
      </c>
      <c r="H8" s="181">
        <f>'zużycie całkowite i emisja'!H121/'zużycie całkowite i emisja'!K20</f>
        <v>1.6476823863510578E-3</v>
      </c>
      <c r="I8" s="181">
        <f>('zużycie całkowite i emisja'!H139/'zużycie całkowite i emisja'!K20)/1000</f>
        <v>9.4943500939569047E-10</v>
      </c>
    </row>
    <row r="9" spans="1:9" x14ac:dyDescent="0.25">
      <c r="A9" s="286"/>
      <c r="B9" s="286" t="s">
        <v>88</v>
      </c>
      <c r="C9" s="286" t="s">
        <v>89</v>
      </c>
      <c r="D9" s="286" t="s">
        <v>90</v>
      </c>
      <c r="E9" s="286" t="s">
        <v>157</v>
      </c>
      <c r="F9" s="286" t="s">
        <v>158</v>
      </c>
      <c r="G9" s="286" t="s">
        <v>91</v>
      </c>
      <c r="H9" s="286" t="s">
        <v>92</v>
      </c>
      <c r="I9" s="286" t="s">
        <v>93</v>
      </c>
    </row>
    <row r="10" spans="1:9" x14ac:dyDescent="0.25">
      <c r="A10" s="91" t="s">
        <v>94</v>
      </c>
      <c r="B10" s="95">
        <f>C10*3.6</f>
        <v>1492.3439999999998</v>
      </c>
      <c r="C10" s="95">
        <f>B2*B4</f>
        <v>414.53999999999996</v>
      </c>
      <c r="D10" s="95">
        <f t="shared" ref="D10:I10" si="0">$C$10*D8</f>
        <v>129.84938220585715</v>
      </c>
      <c r="E10" s="95">
        <f t="shared" si="0"/>
        <v>1.0395357042341591</v>
      </c>
      <c r="F10" s="95">
        <f t="shared" si="0"/>
        <v>0.16996933884438037</v>
      </c>
      <c r="G10" s="95">
        <f t="shared" si="0"/>
        <v>0.7060258842583349</v>
      </c>
      <c r="H10" s="95">
        <f t="shared" si="0"/>
        <v>0.68303025643796744</v>
      </c>
      <c r="I10" s="95">
        <f t="shared" si="0"/>
        <v>3.935787887948895E-7</v>
      </c>
    </row>
    <row r="11" spans="1:9" x14ac:dyDescent="0.25">
      <c r="A11" s="198" t="s">
        <v>95</v>
      </c>
      <c r="B11" s="199">
        <f>C11*3.6</f>
        <v>1492.3439999999998</v>
      </c>
      <c r="C11" s="199">
        <f>B2*B5</f>
        <v>414.53999999999996</v>
      </c>
      <c r="D11" s="199">
        <f t="shared" ref="D11:I11" si="1">$C$11*D8</f>
        <v>129.84938220585715</v>
      </c>
      <c r="E11" s="199">
        <f t="shared" si="1"/>
        <v>1.0395357042341591</v>
      </c>
      <c r="F11" s="199">
        <f t="shared" si="1"/>
        <v>0.16996933884438037</v>
      </c>
      <c r="G11" s="199">
        <f t="shared" si="1"/>
        <v>0.7060258842583349</v>
      </c>
      <c r="H11" s="199">
        <f t="shared" si="1"/>
        <v>0.68303025643796744</v>
      </c>
      <c r="I11" s="199">
        <f t="shared" si="1"/>
        <v>3.935787887948895E-7</v>
      </c>
    </row>
  </sheetData>
  <mergeCells count="2">
    <mergeCell ref="A1:B1"/>
    <mergeCell ref="D6:I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6" sqref="B6"/>
    </sheetView>
  </sheetViews>
  <sheetFormatPr defaultRowHeight="15" x14ac:dyDescent="0.25"/>
  <cols>
    <col min="1" max="1" width="41.28515625" customWidth="1"/>
    <col min="2" max="2" width="14.5703125" customWidth="1"/>
    <col min="4" max="4" width="24" customWidth="1"/>
    <col min="5" max="5" width="18.5703125" customWidth="1"/>
    <col min="6" max="6" width="12.7109375" bestFit="1" customWidth="1"/>
    <col min="7" max="7" width="13.42578125" bestFit="1" customWidth="1"/>
    <col min="8" max="8" width="12.7109375" customWidth="1"/>
    <col min="9" max="9" width="16.7109375" customWidth="1"/>
  </cols>
  <sheetData>
    <row r="1" spans="1:9" x14ac:dyDescent="0.25">
      <c r="A1" s="284" t="s">
        <v>210</v>
      </c>
      <c r="B1" s="285"/>
      <c r="C1" s="74"/>
      <c r="D1" s="74"/>
      <c r="E1" s="74"/>
      <c r="F1" s="74"/>
      <c r="G1" s="74"/>
    </row>
    <row r="2" spans="1:9" x14ac:dyDescent="0.25">
      <c r="A2" s="91" t="s">
        <v>125</v>
      </c>
      <c r="B2" s="91">
        <v>3.1</v>
      </c>
      <c r="C2" s="74"/>
      <c r="D2" s="74"/>
      <c r="E2" s="74"/>
      <c r="F2" s="74"/>
      <c r="G2" s="74"/>
    </row>
    <row r="3" spans="1:9" x14ac:dyDescent="0.25">
      <c r="A3" s="91" t="s">
        <v>86</v>
      </c>
      <c r="B3" s="91">
        <v>252</v>
      </c>
      <c r="C3" s="74"/>
      <c r="D3" s="74"/>
      <c r="E3" s="74"/>
      <c r="F3" s="74"/>
      <c r="G3" s="74"/>
    </row>
    <row r="4" spans="1:9" x14ac:dyDescent="0.25">
      <c r="A4" s="198" t="s">
        <v>196</v>
      </c>
      <c r="B4" s="200">
        <v>126</v>
      </c>
    </row>
    <row r="5" spans="1:9" x14ac:dyDescent="0.25">
      <c r="A5" s="198" t="s">
        <v>197</v>
      </c>
      <c r="B5" s="200">
        <v>126</v>
      </c>
    </row>
    <row r="6" spans="1:9" x14ac:dyDescent="0.25">
      <c r="A6" s="74"/>
      <c r="B6" s="74"/>
      <c r="C6" s="74"/>
      <c r="D6" s="291" t="s">
        <v>162</v>
      </c>
      <c r="E6" s="291"/>
      <c r="F6" s="291"/>
      <c r="G6" s="291"/>
      <c r="H6" s="291"/>
      <c r="I6" s="291"/>
    </row>
    <row r="7" spans="1:9" x14ac:dyDescent="0.25">
      <c r="A7" s="74"/>
      <c r="B7" s="74"/>
      <c r="C7" s="74"/>
      <c r="D7" s="286" t="s">
        <v>97</v>
      </c>
      <c r="E7" s="286" t="s">
        <v>170</v>
      </c>
      <c r="F7" s="286" t="s">
        <v>171</v>
      </c>
      <c r="G7" s="286" t="s">
        <v>172</v>
      </c>
      <c r="H7" s="286" t="s">
        <v>173</v>
      </c>
      <c r="I7" s="286" t="s">
        <v>174</v>
      </c>
    </row>
    <row r="8" spans="1:9" x14ac:dyDescent="0.25">
      <c r="A8" s="74"/>
      <c r="B8" s="74"/>
      <c r="C8" s="74"/>
      <c r="D8" s="181">
        <f>'zużycie całkowite i emisja'!B44</f>
        <v>0.81200000000000006</v>
      </c>
      <c r="E8" s="181">
        <f>('zużycie całkowite i emisja'!B61)</f>
        <v>900</v>
      </c>
      <c r="F8" s="181">
        <f>('zużycie całkowite i emisja'!B79)</f>
        <v>130</v>
      </c>
      <c r="G8" s="181">
        <f>('zużycie całkowite i emisja'!B97)</f>
        <v>380</v>
      </c>
      <c r="H8" s="181">
        <f>('zużycie całkowite i emisja'!B115)</f>
        <v>360</v>
      </c>
      <c r="I8" s="181">
        <f>('zużycie całkowite i emisja'!B133)</f>
        <v>270</v>
      </c>
    </row>
    <row r="9" spans="1:9" x14ac:dyDescent="0.25">
      <c r="A9" s="286"/>
      <c r="B9" s="286" t="s">
        <v>88</v>
      </c>
      <c r="C9" s="286" t="s">
        <v>89</v>
      </c>
      <c r="D9" s="286" t="s">
        <v>90</v>
      </c>
      <c r="E9" s="286" t="s">
        <v>157</v>
      </c>
      <c r="F9" s="286" t="s">
        <v>158</v>
      </c>
      <c r="G9" s="286" t="s">
        <v>91</v>
      </c>
      <c r="H9" s="286" t="s">
        <v>92</v>
      </c>
      <c r="I9" s="286" t="s">
        <v>93</v>
      </c>
    </row>
    <row r="10" spans="1:9" x14ac:dyDescent="0.25">
      <c r="A10" s="198" t="s">
        <v>94</v>
      </c>
      <c r="B10" s="95">
        <f>C10*3.6</f>
        <v>1406.16</v>
      </c>
      <c r="C10" s="95">
        <f>B2*B4</f>
        <v>390.6</v>
      </c>
      <c r="D10" s="95">
        <f>$C$10*D8</f>
        <v>317.16720000000004</v>
      </c>
      <c r="E10" s="95">
        <f>($B$10*E8)/1000000</f>
        <v>1.265544</v>
      </c>
      <c r="F10" s="95">
        <f>($B$10*F8)/1000000</f>
        <v>0.18280080000000001</v>
      </c>
      <c r="G10" s="95">
        <f>($B$10*G8)/1000000</f>
        <v>0.53434080000000006</v>
      </c>
      <c r="H10" s="95">
        <f>($B$10*H8)/1000000</f>
        <v>0.50621760000000005</v>
      </c>
      <c r="I10" s="95">
        <f>($B$10*I8)/1000000</f>
        <v>0.37966320000000003</v>
      </c>
    </row>
    <row r="11" spans="1:9" x14ac:dyDescent="0.25">
      <c r="A11" s="198" t="s">
        <v>95</v>
      </c>
      <c r="B11" s="199">
        <f>C11*3.6</f>
        <v>1406.16</v>
      </c>
      <c r="C11" s="199">
        <f>B2*B5</f>
        <v>390.6</v>
      </c>
      <c r="D11" s="199">
        <f>$C$11*D8</f>
        <v>317.16720000000004</v>
      </c>
      <c r="E11" s="199">
        <f>($B$11*E8)/1000000</f>
        <v>1.265544</v>
      </c>
      <c r="F11" s="199">
        <f>($B$11*F8)/1000000</f>
        <v>0.18280080000000001</v>
      </c>
      <c r="G11" s="199">
        <f t="shared" ref="G11" si="0">($B$11*G8)/1000000</f>
        <v>0.53434080000000006</v>
      </c>
      <c r="H11" s="199">
        <f>($B$11*H8)/1000000</f>
        <v>0.50621760000000005</v>
      </c>
      <c r="I11" s="199">
        <f>($B$11*I8)/1000000</f>
        <v>0.37966320000000003</v>
      </c>
    </row>
  </sheetData>
  <mergeCells count="2">
    <mergeCell ref="A1:B1"/>
    <mergeCell ref="D6:I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N41" sqref="N41"/>
    </sheetView>
  </sheetViews>
  <sheetFormatPr defaultRowHeight="15" x14ac:dyDescent="0.25"/>
  <cols>
    <col min="1" max="1" width="43.85546875" bestFit="1" customWidth="1"/>
    <col min="2" max="2" width="15" customWidth="1"/>
    <col min="4" max="4" width="15.5703125" customWidth="1"/>
    <col min="5" max="5" width="17.7109375" customWidth="1"/>
    <col min="6" max="6" width="19.7109375" customWidth="1"/>
    <col min="7" max="7" width="25.140625" customWidth="1"/>
    <col min="8" max="8" width="18.140625" customWidth="1"/>
    <col min="9" max="9" width="13.7109375" customWidth="1"/>
  </cols>
  <sheetData>
    <row r="1" spans="1:9" x14ac:dyDescent="0.25">
      <c r="A1" s="290" t="s">
        <v>178</v>
      </c>
      <c r="B1" s="290"/>
      <c r="C1" s="74"/>
      <c r="D1" s="74"/>
      <c r="E1" s="74"/>
      <c r="F1" s="74"/>
      <c r="G1" s="74"/>
    </row>
    <row r="2" spans="1:9" x14ac:dyDescent="0.25">
      <c r="A2" s="198" t="s">
        <v>126</v>
      </c>
      <c r="B2" s="198">
        <v>95.7</v>
      </c>
      <c r="C2" s="74" t="s">
        <v>133</v>
      </c>
      <c r="D2" s="74"/>
      <c r="E2" s="74"/>
      <c r="F2" s="74"/>
      <c r="G2" s="74"/>
    </row>
    <row r="3" spans="1:9" x14ac:dyDescent="0.25">
      <c r="A3" s="198" t="s">
        <v>86</v>
      </c>
      <c r="B3" s="198">
        <v>14</v>
      </c>
      <c r="C3" s="74"/>
      <c r="D3" s="74"/>
      <c r="E3" s="74"/>
      <c r="F3" s="74"/>
      <c r="G3" s="74"/>
    </row>
    <row r="4" spans="1:9" ht="15" customHeight="1" x14ac:dyDescent="0.25">
      <c r="A4" s="198" t="s">
        <v>196</v>
      </c>
      <c r="B4" s="200">
        <v>7</v>
      </c>
    </row>
    <row r="5" spans="1:9" x14ac:dyDescent="0.25">
      <c r="A5" s="198" t="s">
        <v>197</v>
      </c>
      <c r="B5" s="200">
        <v>7</v>
      </c>
    </row>
    <row r="6" spans="1:9" x14ac:dyDescent="0.25">
      <c r="A6" s="74"/>
      <c r="B6" s="74"/>
      <c r="C6" s="74"/>
      <c r="D6" s="291" t="s">
        <v>161</v>
      </c>
      <c r="E6" s="291"/>
      <c r="F6" s="291"/>
      <c r="G6" s="291"/>
      <c r="H6" s="291"/>
      <c r="I6" s="291"/>
    </row>
    <row r="7" spans="1:9" x14ac:dyDescent="0.25">
      <c r="A7" s="74"/>
      <c r="B7" s="74"/>
      <c r="C7" s="74"/>
      <c r="D7" s="286" t="s">
        <v>97</v>
      </c>
      <c r="E7" s="286" t="s">
        <v>159</v>
      </c>
      <c r="F7" s="286" t="s">
        <v>160</v>
      </c>
      <c r="G7" s="286" t="s">
        <v>98</v>
      </c>
      <c r="H7" s="286" t="s">
        <v>99</v>
      </c>
      <c r="I7" s="286" t="s">
        <v>100</v>
      </c>
    </row>
    <row r="8" spans="1:9" x14ac:dyDescent="0.25">
      <c r="A8" s="74"/>
      <c r="B8" s="74"/>
      <c r="C8" s="74"/>
      <c r="D8" s="94">
        <f>'zużycie całkowite i emisja'!K49/'zużycie całkowite i emisja'!K20</f>
        <v>0.31323728037308141</v>
      </c>
      <c r="E8" s="100">
        <f>'zużycie całkowite i emisja'!H67/'zużycie całkowite i emisja'!K20</f>
        <v>2.5076849139628482E-3</v>
      </c>
      <c r="F8" s="100">
        <f>'zużycie całkowite i emisja'!H85/'zużycie całkowite i emisja'!K20</f>
        <v>4.1001915097307954E-4</v>
      </c>
      <c r="G8" s="94">
        <f>'zużycie całkowite i emisja'!H103/'zużycie całkowite i emisja'!K20</f>
        <v>1.7031550254700029E-3</v>
      </c>
      <c r="H8" s="94">
        <f>'zużycie całkowite i emisja'!H121/'zużycie całkowite i emisja'!K20</f>
        <v>1.6476823863510578E-3</v>
      </c>
      <c r="I8" s="94">
        <f>('zużycie całkowite i emisja'!H139/'zużycie całkowite i emisja'!K20)/1000</f>
        <v>9.4943500939569047E-10</v>
      </c>
    </row>
    <row r="9" spans="1:9" x14ac:dyDescent="0.25">
      <c r="A9" s="286"/>
      <c r="B9" s="286" t="s">
        <v>88</v>
      </c>
      <c r="C9" s="286" t="s">
        <v>89</v>
      </c>
      <c r="D9" s="286" t="s">
        <v>90</v>
      </c>
      <c r="E9" s="286" t="s">
        <v>157</v>
      </c>
      <c r="F9" s="286" t="s">
        <v>158</v>
      </c>
      <c r="G9" s="286" t="s">
        <v>91</v>
      </c>
      <c r="H9" s="286" t="s">
        <v>92</v>
      </c>
      <c r="I9" s="286" t="s">
        <v>93</v>
      </c>
    </row>
    <row r="10" spans="1:9" x14ac:dyDescent="0.25">
      <c r="A10" s="198" t="s">
        <v>94</v>
      </c>
      <c r="B10" s="95">
        <f>B2*B4</f>
        <v>669.9</v>
      </c>
      <c r="C10" s="95">
        <f>B10*0.277777</f>
        <v>186.0828123</v>
      </c>
      <c r="D10" s="95">
        <f t="shared" ref="D10:I10" si="0">$C$10*D8</f>
        <v>58.288074049026584</v>
      </c>
      <c r="E10" s="95">
        <f t="shared" si="0"/>
        <v>0.46663706115249032</v>
      </c>
      <c r="F10" s="95">
        <f t="shared" si="0"/>
        <v>7.6297516709928917E-2</v>
      </c>
      <c r="G10" s="95">
        <f t="shared" si="0"/>
        <v>0.31692787692233626</v>
      </c>
      <c r="H10" s="95">
        <f t="shared" si="0"/>
        <v>0.30660537222938</v>
      </c>
      <c r="I10" s="95">
        <f t="shared" si="0"/>
        <v>1.76673536644427E-7</v>
      </c>
    </row>
    <row r="11" spans="1:9" x14ac:dyDescent="0.25">
      <c r="A11" s="198" t="s">
        <v>95</v>
      </c>
      <c r="B11" s="199">
        <f>B2*B5</f>
        <v>669.9</v>
      </c>
      <c r="C11" s="199">
        <f>B11*0.277777</f>
        <v>186.0828123</v>
      </c>
      <c r="D11" s="199">
        <f>$C$11*D8</f>
        <v>58.288074049026584</v>
      </c>
      <c r="E11" s="199">
        <f>$C$11*E8</f>
        <v>0.46663706115249032</v>
      </c>
      <c r="F11" s="199">
        <f t="shared" ref="F11:H11" si="1">$C$11*F8</f>
        <v>7.6297516709928917E-2</v>
      </c>
      <c r="G11" s="199">
        <f>$C$11*G8</f>
        <v>0.31692787692233626</v>
      </c>
      <c r="H11" s="199">
        <f t="shared" si="1"/>
        <v>0.30660537222938</v>
      </c>
      <c r="I11" s="199">
        <f>$C$11*I8</f>
        <v>1.76673536644427E-7</v>
      </c>
    </row>
  </sheetData>
  <mergeCells count="2">
    <mergeCell ref="A1:B1"/>
    <mergeCell ref="D6:I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6"/>
  <sheetViews>
    <sheetView tabSelected="1" workbookViewId="0">
      <selection activeCell="H44" sqref="H44"/>
    </sheetView>
  </sheetViews>
  <sheetFormatPr defaultRowHeight="14.25" x14ac:dyDescent="0.2"/>
  <cols>
    <col min="1" max="1" width="34.42578125" style="184" bestFit="1" customWidth="1"/>
    <col min="2" max="2" width="16.85546875" style="184" customWidth="1"/>
    <col min="3" max="3" width="13.140625" style="184" customWidth="1"/>
    <col min="4" max="4" width="12.42578125" style="184" customWidth="1"/>
    <col min="5" max="5" width="14.28515625" style="184" customWidth="1"/>
    <col min="6" max="6" width="12.5703125" style="184" customWidth="1"/>
    <col min="7" max="7" width="11.42578125" style="184" customWidth="1"/>
    <col min="8" max="8" width="14" style="184" customWidth="1"/>
    <col min="9" max="9" width="9.140625" style="184"/>
    <col min="10" max="10" width="11.85546875" style="184" customWidth="1"/>
    <col min="11" max="11" width="10.7109375" style="184" bestFit="1" customWidth="1"/>
    <col min="12" max="12" width="15.42578125" style="184" customWidth="1"/>
    <col min="13" max="13" width="13.42578125" style="184" customWidth="1"/>
    <col min="14" max="15" width="9.5703125" style="184" bestFit="1" customWidth="1"/>
    <col min="16" max="16384" width="9.140625" style="184"/>
  </cols>
  <sheetData>
    <row r="1" spans="1:15" ht="52.5" customHeight="1" x14ac:dyDescent="0.2">
      <c r="A1" s="249" t="s">
        <v>101</v>
      </c>
      <c r="B1" s="279" t="s">
        <v>94</v>
      </c>
      <c r="C1" s="279"/>
      <c r="D1" s="279"/>
      <c r="E1" s="279"/>
      <c r="F1" s="279"/>
      <c r="G1" s="279"/>
      <c r="H1" s="279"/>
      <c r="I1" s="280" t="s">
        <v>190</v>
      </c>
      <c r="J1" s="280"/>
      <c r="K1" s="280"/>
      <c r="L1" s="280"/>
      <c r="M1" s="280"/>
      <c r="N1" s="280"/>
      <c r="O1" s="280"/>
    </row>
    <row r="2" spans="1:15" ht="66" customHeight="1" x14ac:dyDescent="0.2">
      <c r="A2" s="249"/>
      <c r="B2" s="242" t="s">
        <v>89</v>
      </c>
      <c r="C2" s="242" t="s">
        <v>156</v>
      </c>
      <c r="D2" s="244" t="s">
        <v>191</v>
      </c>
      <c r="E2" s="244" t="s">
        <v>158</v>
      </c>
      <c r="F2" s="242" t="s">
        <v>91</v>
      </c>
      <c r="G2" s="242" t="s">
        <v>92</v>
      </c>
      <c r="H2" s="242" t="s">
        <v>93</v>
      </c>
      <c r="I2" s="242" t="s">
        <v>89</v>
      </c>
      <c r="J2" s="242" t="s">
        <v>156</v>
      </c>
      <c r="K2" s="244" t="s">
        <v>191</v>
      </c>
      <c r="L2" s="244" t="s">
        <v>158</v>
      </c>
      <c r="M2" s="242" t="s">
        <v>91</v>
      </c>
      <c r="N2" s="242" t="s">
        <v>92</v>
      </c>
      <c r="O2" s="242" t="s">
        <v>93</v>
      </c>
    </row>
    <row r="3" spans="1:15" ht="17.25" customHeight="1" x14ac:dyDescent="0.2">
      <c r="A3" s="75" t="s">
        <v>211</v>
      </c>
      <c r="B3" s="96">
        <f>'zadanie 10'!C7</f>
        <v>210.05774517</v>
      </c>
      <c r="C3" s="96">
        <f>'zadanie 10'!D7</f>
        <v>58.606110902430004</v>
      </c>
      <c r="D3" s="96">
        <f>'zadanie 10'!E7</f>
        <v>0.1058694</v>
      </c>
      <c r="E3" s="96">
        <f>'zadanie 10'!F7</f>
        <v>5.2934700000000001E-2</v>
      </c>
      <c r="F3" s="96">
        <f>'zadanie 10'!G7</f>
        <v>2.2686300000000002E-3</v>
      </c>
      <c r="G3" s="96">
        <f>'zadanie 10'!H7</f>
        <v>2.2686300000000002E-3</v>
      </c>
      <c r="H3" s="96">
        <f>'zadanie 10'!I7</f>
        <v>7.5621000000000004E-3</v>
      </c>
      <c r="I3" s="206">
        <v>0</v>
      </c>
      <c r="J3" s="206">
        <v>0</v>
      </c>
      <c r="K3" s="206">
        <v>0</v>
      </c>
      <c r="L3" s="206">
        <v>0</v>
      </c>
      <c r="M3" s="206">
        <v>0</v>
      </c>
      <c r="N3" s="206">
        <v>0</v>
      </c>
      <c r="O3" s="206">
        <v>0</v>
      </c>
    </row>
    <row r="4" spans="1:15" ht="17.25" customHeight="1" x14ac:dyDescent="0.2">
      <c r="A4" s="75" t="s">
        <v>212</v>
      </c>
      <c r="B4" s="204">
        <f>'zadanie 10'!C15+'zadanie 10'!C23</f>
        <v>59.2</v>
      </c>
      <c r="C4" s="204">
        <f>'zadanie 10'!D15+'zadanie 10'!D23</f>
        <v>33.0398</v>
      </c>
      <c r="D4" s="204">
        <f>'zadanie 10'!E15+'zadanie 10'!E23</f>
        <v>0.11465280000000001</v>
      </c>
      <c r="E4" s="204">
        <f>'zadanie 10'!F15+'zadanie 10'!F23</f>
        <v>2.1614400000000002E-2</v>
      </c>
      <c r="F4" s="204">
        <f>'zadanie 10'!G15+'zadanie 10'!G23</f>
        <v>4.2712560000000004E-2</v>
      </c>
      <c r="G4" s="204">
        <f>'zadanie 10'!H15+'zadanie 10'!H23</f>
        <v>4.0480560000000006E-2</v>
      </c>
      <c r="H4" s="204">
        <f>'zadanie 10'!I15+'zadanie 10'!I23</f>
        <v>3.1147200000000003E-2</v>
      </c>
      <c r="I4" s="206">
        <v>0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</row>
    <row r="5" spans="1:15" x14ac:dyDescent="0.2">
      <c r="A5" s="75">
        <v>11</v>
      </c>
      <c r="B5" s="96">
        <f>'zadanie 11'!C7</f>
        <v>62.099826120000017</v>
      </c>
      <c r="C5" s="96">
        <f>'zadanie 11'!D7</f>
        <v>21.486539837520006</v>
      </c>
      <c r="D5" s="96">
        <f>'zadanie 11'!E7</f>
        <v>0.20120400000000005</v>
      </c>
      <c r="E5" s="96">
        <f>'zadanie 11'!F7</f>
        <v>2.9062800000000007E-2</v>
      </c>
      <c r="F5" s="96">
        <f>'zadanie 11'!G7</f>
        <v>8.4952800000000023E-2</v>
      </c>
      <c r="G5" s="96">
        <f>'zadanie 11'!H7</f>
        <v>8.0481600000000014E-2</v>
      </c>
      <c r="H5" s="96">
        <f>'zadanie 11'!I7</f>
        <v>6.0361200000000018E-2</v>
      </c>
      <c r="I5" s="206">
        <v>0</v>
      </c>
      <c r="J5" s="206">
        <v>0</v>
      </c>
      <c r="K5" s="206">
        <v>0</v>
      </c>
      <c r="L5" s="206">
        <v>0</v>
      </c>
      <c r="M5" s="206">
        <v>0</v>
      </c>
      <c r="N5" s="206">
        <v>0</v>
      </c>
      <c r="O5" s="206">
        <v>0</v>
      </c>
    </row>
    <row r="6" spans="1:15" x14ac:dyDescent="0.2">
      <c r="A6" s="75">
        <v>12</v>
      </c>
      <c r="B6" s="96">
        <f>'zadanie 12'!C7</f>
        <v>60.566497080000005</v>
      </c>
      <c r="C6" s="96">
        <f>'zadanie 12'!D7</f>
        <v>20.95600798968</v>
      </c>
      <c r="D6" s="96">
        <f>'zadanie 12'!E7</f>
        <v>0.19623600000000002</v>
      </c>
      <c r="E6" s="96">
        <f>'zadanie 12'!F7</f>
        <v>2.8345200000000004E-2</v>
      </c>
      <c r="F6" s="96">
        <f>'zadanie 12'!G7</f>
        <v>8.2855200000000018E-2</v>
      </c>
      <c r="G6" s="96">
        <f>'zadanie 12'!H7</f>
        <v>7.8494400000000006E-2</v>
      </c>
      <c r="H6" s="96">
        <f>'zadanie 12'!I7</f>
        <v>5.8870800000000001E-2</v>
      </c>
      <c r="I6" s="206">
        <v>0</v>
      </c>
      <c r="J6" s="206">
        <v>0</v>
      </c>
      <c r="K6" s="206">
        <v>0</v>
      </c>
      <c r="L6" s="206">
        <v>0</v>
      </c>
      <c r="M6" s="206">
        <v>0</v>
      </c>
      <c r="N6" s="206">
        <v>0</v>
      </c>
      <c r="O6" s="206">
        <v>0</v>
      </c>
    </row>
    <row r="7" spans="1:15" x14ac:dyDescent="0.2">
      <c r="A7" s="75">
        <v>13</v>
      </c>
      <c r="B7" s="96">
        <f>'zadanie 13'!D7</f>
        <v>5.1033607105500023</v>
      </c>
      <c r="C7" s="96">
        <f>'zadanie 13'!E7</f>
        <v>9.2190000000000032E-3</v>
      </c>
      <c r="D7" s="96">
        <f>'zadanie 13'!F7</f>
        <v>4.6095000000000016E-3</v>
      </c>
      <c r="E7" s="96">
        <f>'zadanie 13'!G7</f>
        <v>1.9755000000000006E-4</v>
      </c>
      <c r="F7" s="96">
        <f>'zadanie 13'!H7</f>
        <v>1.9755000000000006E-4</v>
      </c>
      <c r="G7" s="96">
        <f>'zadanie 13'!I7</f>
        <v>6.5850000000000023E-4</v>
      </c>
      <c r="H7" s="96">
        <f>'zadanie 13'!J7</f>
        <v>0</v>
      </c>
      <c r="I7" s="206">
        <v>0</v>
      </c>
      <c r="J7" s="206">
        <v>0</v>
      </c>
      <c r="K7" s="206">
        <v>0</v>
      </c>
      <c r="L7" s="206">
        <v>0</v>
      </c>
      <c r="M7" s="206">
        <v>0</v>
      </c>
      <c r="N7" s="206">
        <v>0</v>
      </c>
      <c r="O7" s="206">
        <v>0</v>
      </c>
    </row>
    <row r="8" spans="1:15" x14ac:dyDescent="0.2">
      <c r="A8" s="75">
        <v>14</v>
      </c>
      <c r="B8" s="96">
        <f>'zadanie 14, 15'!C43</f>
        <v>2900.2430034161994</v>
      </c>
      <c r="C8" s="96">
        <f>'zadanie 14, 15'!C44</f>
        <v>922.97333333333381</v>
      </c>
      <c r="D8" s="96">
        <f>'zadanie 14, 15'!C45</f>
        <v>15.034859728506788</v>
      </c>
      <c r="E8" s="96">
        <f>'zadanie 14, 15'!C46</f>
        <v>6.2645248868778494E-2</v>
      </c>
      <c r="F8" s="96">
        <f>'zadanie 14, 15'!C47</f>
        <v>14.756568651282054</v>
      </c>
      <c r="G8" s="96">
        <f>'zadanie 14, 15'!C48</f>
        <v>14.537560861236804</v>
      </c>
      <c r="H8" s="96">
        <f>'zadanie 14, 15'!C49</f>
        <v>8.3464353242835596</v>
      </c>
      <c r="I8" s="193">
        <f>'zadanie 14, 15'!C52+B8</f>
        <v>5800.4860068323987</v>
      </c>
      <c r="J8" s="193">
        <f>'zadanie 14, 15'!C53+C8</f>
        <v>1845.9466666666676</v>
      </c>
      <c r="K8" s="193">
        <f>'zadanie 14, 15'!C54+D8</f>
        <v>30.069719457013576</v>
      </c>
      <c r="L8" s="193">
        <f>'zadanie 14, 15'!C55+E8</f>
        <v>0.12529049773755699</v>
      </c>
      <c r="M8" s="193">
        <f>'zadanie 14, 15'!C56+F8</f>
        <v>29.513137302564108</v>
      </c>
      <c r="N8" s="193">
        <f>'zadanie 14, 15'!C57+G8</f>
        <v>29.075121722473607</v>
      </c>
      <c r="O8" s="193">
        <f>'zadanie 14, 15'!C58+H8</f>
        <v>16.692870648567119</v>
      </c>
    </row>
    <row r="9" spans="1:15" x14ac:dyDescent="0.2">
      <c r="A9" s="75">
        <v>15</v>
      </c>
      <c r="B9" s="96">
        <f>'zadanie 14, 15'!D43</f>
        <v>237.74287997643216</v>
      </c>
      <c r="C9" s="96">
        <f>'zadanie 14, 15'!D44</f>
        <v>331.00941176470593</v>
      </c>
      <c r="D9" s="96">
        <f>'zadanie 14, 15'!D45</f>
        <v>1.4549864253393665</v>
      </c>
      <c r="E9" s="96">
        <f>'zadanie 14, 15'!D46</f>
        <v>0.12196209741815274</v>
      </c>
      <c r="F9" s="96">
        <f>'zadanie 14, 15'!D47</f>
        <v>1.4194676390737293</v>
      </c>
      <c r="G9" s="96">
        <f>'zadanie 14, 15'!D48</f>
        <v>1.4001462752195901</v>
      </c>
      <c r="H9" s="96">
        <f>'zadanie 14, 15'!D49</f>
        <v>0.82270923609262714</v>
      </c>
      <c r="I9" s="193">
        <f>'zadanie 14, 15'!D52+B9</f>
        <v>475.48575995286433</v>
      </c>
      <c r="J9" s="193">
        <f>'zadanie 14, 15'!D53+C9</f>
        <v>662.01882352941186</v>
      </c>
      <c r="K9" s="193">
        <f>'zadanie 14, 15'!D54+D9</f>
        <v>2.909972850678733</v>
      </c>
      <c r="L9" s="193">
        <f>'zadanie 14, 15'!D55+E9</f>
        <v>0.24392419483630548</v>
      </c>
      <c r="M9" s="193">
        <f>'zadanie 14, 15'!D56+F9</f>
        <v>2.8389352781474586</v>
      </c>
      <c r="N9" s="193">
        <f>'zadanie 14, 15'!D57+G9</f>
        <v>2.8002925504391802</v>
      </c>
      <c r="O9" s="193">
        <f>'zadanie 14, 15'!D58+H9</f>
        <v>1.6454184721852543</v>
      </c>
    </row>
    <row r="10" spans="1:15" x14ac:dyDescent="0.2">
      <c r="A10" s="75">
        <v>16</v>
      </c>
      <c r="B10" s="96">
        <f>'zadanie 16'!C12</f>
        <v>1498.9291363200002</v>
      </c>
      <c r="C10" s="96">
        <f>'zadanie 16'!D12</f>
        <v>469.52048613284865</v>
      </c>
      <c r="D10" s="96">
        <f>'zadanie 16'!E12</f>
        <v>3.758841982249026</v>
      </c>
      <c r="E10" s="96">
        <f>'zadanie 16'!F12</f>
        <v>0.61458965184273795</v>
      </c>
      <c r="F10" s="96">
        <f>'zadanie 16'!G12</f>
        <v>2.5529086913468193</v>
      </c>
      <c r="G10" s="96">
        <f>'zadanie 16'!H12</f>
        <v>2.4697591363028679</v>
      </c>
      <c r="H10" s="96">
        <f>'zadanie 16'!I12</f>
        <v>1.4231357986254536E-6</v>
      </c>
      <c r="I10" s="193">
        <f>'zadanie 16'!C13+B10</f>
        <v>2997.8582726400005</v>
      </c>
      <c r="J10" s="193">
        <f>'zadanie 16'!D13+C10</f>
        <v>939.04097226569729</v>
      </c>
      <c r="K10" s="193">
        <f>'zadanie 16'!E13+D10</f>
        <v>7.517683964498052</v>
      </c>
      <c r="L10" s="193">
        <f>'zadanie 16'!F13+E10</f>
        <v>1.2291793036854759</v>
      </c>
      <c r="M10" s="193">
        <f>'zadanie 16'!G13+F10</f>
        <v>5.1058173826936386</v>
      </c>
      <c r="N10" s="193">
        <f>'zadanie 16'!H13+G10</f>
        <v>4.9395182726057358</v>
      </c>
      <c r="O10" s="193">
        <f>'zadanie 16'!I13+H10</f>
        <v>2.8462715972509072E-6</v>
      </c>
    </row>
    <row r="11" spans="1:15" x14ac:dyDescent="0.2">
      <c r="A11" s="75">
        <v>17</v>
      </c>
      <c r="B11" s="96">
        <f>'zadanie 17'!C10</f>
        <v>414.53999999999996</v>
      </c>
      <c r="C11" s="96">
        <f>'zadanie 17'!D10</f>
        <v>129.84938220585715</v>
      </c>
      <c r="D11" s="96">
        <f>'zadanie 17'!E10</f>
        <v>1.0395357042341591</v>
      </c>
      <c r="E11" s="96">
        <f>'zadanie 17'!F10</f>
        <v>0.16996933884438037</v>
      </c>
      <c r="F11" s="96">
        <f>'zadanie 17'!G10</f>
        <v>0.7060258842583349</v>
      </c>
      <c r="G11" s="96">
        <f>'zadanie 17'!H10</f>
        <v>0.68303025643796744</v>
      </c>
      <c r="H11" s="96">
        <f>'zadanie 17'!I10</f>
        <v>3.935787887948895E-7</v>
      </c>
      <c r="I11" s="193">
        <f>'zadanie 17'!C11+B11</f>
        <v>829.07999999999993</v>
      </c>
      <c r="J11" s="193">
        <f>'zadanie 17'!D11+C11</f>
        <v>259.69876441171431</v>
      </c>
      <c r="K11" s="193">
        <f>'zadanie 17'!E11+D11</f>
        <v>2.0790714084683182</v>
      </c>
      <c r="L11" s="193">
        <f>'zadanie 17'!F11+E11</f>
        <v>0.33993867768876074</v>
      </c>
      <c r="M11" s="193">
        <f>'zadanie 17'!G11+F11</f>
        <v>1.4120517685166698</v>
      </c>
      <c r="N11" s="193">
        <f>'zadanie 17'!H11+G11</f>
        <v>1.3660605128759349</v>
      </c>
      <c r="O11" s="193">
        <f>'zadanie 17'!I11+H11</f>
        <v>7.87157577589779E-7</v>
      </c>
    </row>
    <row r="12" spans="1:15" x14ac:dyDescent="0.2">
      <c r="A12" s="75">
        <v>18</v>
      </c>
      <c r="B12" s="96">
        <f>'zadanie 18'!C10</f>
        <v>390.6</v>
      </c>
      <c r="C12" s="96">
        <f>'zadanie 18'!D10</f>
        <v>317.16720000000004</v>
      </c>
      <c r="D12" s="96">
        <f>'zadanie 18'!E10</f>
        <v>1.265544</v>
      </c>
      <c r="E12" s="96">
        <f>'zadanie 18'!F10</f>
        <v>0.18280080000000001</v>
      </c>
      <c r="F12" s="96">
        <f>'zadanie 18'!G10</f>
        <v>0.53434080000000006</v>
      </c>
      <c r="G12" s="96">
        <f>'zadanie 18'!H10</f>
        <v>0.50621760000000005</v>
      </c>
      <c r="H12" s="96">
        <f>'zadanie 18'!I10</f>
        <v>0.37966320000000003</v>
      </c>
      <c r="I12" s="193">
        <f>'zadanie 18'!C11+B12</f>
        <v>781.2</v>
      </c>
      <c r="J12" s="193">
        <f>'zadanie 18'!D11+C12</f>
        <v>634.33440000000007</v>
      </c>
      <c r="K12" s="193">
        <f>'zadanie 18'!E11+D12</f>
        <v>2.531088</v>
      </c>
      <c r="L12" s="193">
        <f>'zadanie 18'!F11+E12</f>
        <v>0.36560160000000003</v>
      </c>
      <c r="M12" s="193">
        <f>'zadanie 18'!G11+F12</f>
        <v>1.0686816000000001</v>
      </c>
      <c r="N12" s="193">
        <f>'zadanie 18'!H11+G12</f>
        <v>1.0124352000000001</v>
      </c>
      <c r="O12" s="193">
        <f>'zadanie 18'!I11+H12</f>
        <v>0.75932640000000007</v>
      </c>
    </row>
    <row r="13" spans="1:15" x14ac:dyDescent="0.2">
      <c r="A13" s="75">
        <v>19</v>
      </c>
      <c r="B13" s="96">
        <f>'zadanie 19'!C10</f>
        <v>186.0828123</v>
      </c>
      <c r="C13" s="96">
        <f>'zadanie 19'!D10</f>
        <v>58.288074049026584</v>
      </c>
      <c r="D13" s="96">
        <f>'zadanie 19'!E10</f>
        <v>0.46663706115249032</v>
      </c>
      <c r="E13" s="96">
        <f>'zadanie 19'!F10</f>
        <v>7.6297516709928917E-2</v>
      </c>
      <c r="F13" s="96">
        <f>'zadanie 19'!G10</f>
        <v>0.31692787692233626</v>
      </c>
      <c r="G13" s="96">
        <f>'zadanie 19'!H10</f>
        <v>0.30660537222938</v>
      </c>
      <c r="H13" s="96">
        <f>'zadanie 19'!I10</f>
        <v>1.76673536644427E-7</v>
      </c>
      <c r="I13" s="193">
        <f>'zadanie 19'!C11+B13</f>
        <v>372.1656246</v>
      </c>
      <c r="J13" s="193">
        <f>'zadanie 19'!D11+C13</f>
        <v>116.57614809805317</v>
      </c>
      <c r="K13" s="193">
        <f>'zadanie 19'!E11+D13</f>
        <v>0.93327412230498064</v>
      </c>
      <c r="L13" s="193">
        <f>'zadanie 19'!F11+E13</f>
        <v>0.15259503341985783</v>
      </c>
      <c r="M13" s="193">
        <f>'zadanie 19'!G11+F13</f>
        <v>0.63385575384467252</v>
      </c>
      <c r="N13" s="193">
        <f>'zadanie 19'!H11+G13</f>
        <v>0.61321074445876</v>
      </c>
      <c r="O13" s="193">
        <f>'zadanie 19'!I11+H13</f>
        <v>3.5334707328885401E-7</v>
      </c>
    </row>
    <row r="14" spans="1:15" ht="25.5" x14ac:dyDescent="0.2">
      <c r="A14" s="92" t="s">
        <v>70</v>
      </c>
      <c r="B14" s="101">
        <f>SUM(B5:B10)+B3</f>
        <v>4974.7424487931821</v>
      </c>
      <c r="C14" s="101"/>
      <c r="D14" s="201"/>
      <c r="E14" s="201"/>
      <c r="F14" s="101"/>
      <c r="G14" s="101"/>
      <c r="H14" s="101"/>
      <c r="I14" s="207">
        <f>SUM(I5:I10)+I3</f>
        <v>9273.8300394252637</v>
      </c>
      <c r="J14" s="194"/>
      <c r="K14" s="194"/>
      <c r="L14" s="194"/>
      <c r="M14" s="194"/>
      <c r="N14" s="194"/>
      <c r="O14" s="194"/>
    </row>
    <row r="15" spans="1:15" x14ac:dyDescent="0.2">
      <c r="A15" s="92" t="s">
        <v>66</v>
      </c>
      <c r="B15" s="101">
        <f>SUM(B11:B13)+B4</f>
        <v>1050.4228123</v>
      </c>
      <c r="C15" s="101"/>
      <c r="D15" s="201"/>
      <c r="E15" s="201"/>
      <c r="F15" s="101"/>
      <c r="G15" s="101"/>
      <c r="H15" s="101"/>
      <c r="I15" s="207">
        <f>SUM(I11:I13)+I4</f>
        <v>1982.4456246</v>
      </c>
      <c r="J15" s="194"/>
      <c r="K15" s="194"/>
      <c r="L15" s="194"/>
      <c r="M15" s="194"/>
      <c r="N15" s="194"/>
      <c r="O15" s="194"/>
    </row>
    <row r="16" spans="1:15" ht="39.75" x14ac:dyDescent="0.2">
      <c r="A16" s="92" t="s">
        <v>151</v>
      </c>
      <c r="B16" s="101"/>
      <c r="C16" s="101">
        <f>SUM(C3:C13)</f>
        <v>2362.905565215402</v>
      </c>
      <c r="D16" s="201"/>
      <c r="E16" s="201"/>
      <c r="F16" s="101"/>
      <c r="G16" s="101"/>
      <c r="H16" s="101"/>
      <c r="I16" s="194"/>
      <c r="J16" s="207">
        <f>SUM(J3:J13)</f>
        <v>4457.6157749715439</v>
      </c>
      <c r="K16" s="194"/>
      <c r="L16" s="194"/>
      <c r="M16" s="194"/>
      <c r="N16" s="194"/>
      <c r="O16" s="194"/>
    </row>
    <row r="17" spans="1:15" x14ac:dyDescent="0.2">
      <c r="A17" s="92" t="s">
        <v>155</v>
      </c>
      <c r="B17" s="101"/>
      <c r="C17" s="101"/>
      <c r="D17" s="201">
        <f>SUM(D3:D13)</f>
        <v>23.642976601481827</v>
      </c>
      <c r="E17" s="201"/>
      <c r="F17" s="101"/>
      <c r="G17" s="101"/>
      <c r="H17" s="101"/>
      <c r="I17" s="194"/>
      <c r="J17" s="194"/>
      <c r="K17" s="207">
        <f>SUM(K3:K13)</f>
        <v>46.040809802963658</v>
      </c>
      <c r="L17" s="194"/>
      <c r="M17" s="194"/>
      <c r="N17" s="194"/>
      <c r="O17" s="194"/>
    </row>
    <row r="18" spans="1:15" x14ac:dyDescent="0.2">
      <c r="A18" s="92" t="s">
        <v>153</v>
      </c>
      <c r="B18" s="101"/>
      <c r="C18" s="101"/>
      <c r="D18" s="201"/>
      <c r="E18" s="201">
        <f>SUM(E3:E13)</f>
        <v>1.3604193036839785</v>
      </c>
      <c r="F18" s="101"/>
      <c r="G18" s="101"/>
      <c r="H18" s="101"/>
      <c r="I18" s="194"/>
      <c r="J18" s="194"/>
      <c r="K18" s="194"/>
      <c r="L18" s="207">
        <f>SUM(L3:L13)</f>
        <v>2.456529307367957</v>
      </c>
      <c r="M18" s="194"/>
      <c r="N18" s="194"/>
      <c r="O18" s="194"/>
    </row>
    <row r="19" spans="1:15" x14ac:dyDescent="0.2">
      <c r="A19" s="92" t="s">
        <v>71</v>
      </c>
      <c r="B19" s="101"/>
      <c r="C19" s="101"/>
      <c r="D19" s="201"/>
      <c r="E19" s="201"/>
      <c r="F19" s="101">
        <f>SUM(F3:F13)</f>
        <v>20.499226282883271</v>
      </c>
      <c r="G19" s="101"/>
      <c r="H19" s="101"/>
      <c r="I19" s="194"/>
      <c r="J19" s="194"/>
      <c r="K19" s="194"/>
      <c r="L19" s="194"/>
      <c r="M19" s="207">
        <f>SUM(M3:M13)</f>
        <v>40.572479085766538</v>
      </c>
      <c r="N19" s="194"/>
      <c r="O19" s="194"/>
    </row>
    <row r="20" spans="1:15" x14ac:dyDescent="0.2">
      <c r="A20" s="92" t="s">
        <v>72</v>
      </c>
      <c r="B20" s="101"/>
      <c r="C20" s="101"/>
      <c r="D20" s="201"/>
      <c r="E20" s="201"/>
      <c r="F20" s="101"/>
      <c r="G20" s="101">
        <f>SUM(G3:G13)</f>
        <v>20.10570319142661</v>
      </c>
      <c r="H20" s="101"/>
      <c r="I20" s="194"/>
      <c r="J20" s="194"/>
      <c r="K20" s="194"/>
      <c r="L20" s="194"/>
      <c r="M20" s="194"/>
      <c r="N20" s="207">
        <f>SUM(N3:N13)</f>
        <v>39.806639002853217</v>
      </c>
      <c r="O20" s="194"/>
    </row>
    <row r="21" spans="1:15" x14ac:dyDescent="0.2">
      <c r="A21" s="92" t="s">
        <v>73</v>
      </c>
      <c r="B21" s="101"/>
      <c r="C21" s="101"/>
      <c r="D21" s="201"/>
      <c r="E21" s="201"/>
      <c r="F21" s="101"/>
      <c r="G21" s="101"/>
      <c r="H21" s="101">
        <f>SUM(H3:H13)</f>
        <v>9.7067510537643109</v>
      </c>
      <c r="I21" s="194"/>
      <c r="J21" s="194"/>
      <c r="K21" s="194"/>
      <c r="L21" s="194"/>
      <c r="M21" s="194"/>
      <c r="N21" s="194"/>
      <c r="O21" s="207">
        <f>SUM(O3:O13)</f>
        <v>19.097619507528623</v>
      </c>
    </row>
    <row r="22" spans="1:15" x14ac:dyDescent="0.2">
      <c r="A22" s="185"/>
      <c r="B22" s="185"/>
      <c r="C22" s="185"/>
      <c r="D22" s="185"/>
      <c r="E22" s="185"/>
      <c r="F22" s="185"/>
    </row>
    <row r="23" spans="1:15" x14ac:dyDescent="0.2">
      <c r="A23" s="185"/>
      <c r="B23" s="185"/>
      <c r="C23" s="185"/>
      <c r="D23" s="185"/>
      <c r="E23" s="185"/>
      <c r="F23" s="185"/>
    </row>
    <row r="24" spans="1:15" ht="42.75" customHeight="1" x14ac:dyDescent="0.2">
      <c r="A24" s="294" t="s">
        <v>189</v>
      </c>
      <c r="B24" s="295"/>
      <c r="C24" s="296"/>
      <c r="D24" s="202"/>
      <c r="E24" s="272" t="s">
        <v>192</v>
      </c>
      <c r="F24" s="273"/>
      <c r="G24" s="274"/>
      <c r="H24" s="5"/>
      <c r="I24" s="297" t="s">
        <v>64</v>
      </c>
      <c r="J24" s="298"/>
      <c r="L24" s="299" t="s">
        <v>213</v>
      </c>
      <c r="M24" s="300"/>
    </row>
    <row r="25" spans="1:15" ht="63.75" x14ac:dyDescent="0.2">
      <c r="A25" s="242"/>
      <c r="B25" s="293">
        <v>2020</v>
      </c>
      <c r="C25" s="243" t="s">
        <v>128</v>
      </c>
      <c r="D25" s="202"/>
      <c r="E25" s="242"/>
      <c r="F25" s="293">
        <v>2022</v>
      </c>
      <c r="G25" s="243" t="s">
        <v>128</v>
      </c>
      <c r="H25" s="5"/>
      <c r="I25" s="242"/>
      <c r="J25" s="242"/>
      <c r="L25" s="302" t="s">
        <v>214</v>
      </c>
      <c r="M25" s="301">
        <f>'zużycie całkowite i emisja'!M10</f>
        <v>20874.603599999999</v>
      </c>
    </row>
    <row r="26" spans="1:15" ht="63.75" x14ac:dyDescent="0.2">
      <c r="A26" s="92" t="s">
        <v>70</v>
      </c>
      <c r="B26" s="88">
        <f>B14</f>
        <v>4974.7424487931821</v>
      </c>
      <c r="C26" s="97">
        <f>(B26/J26)*100</f>
        <v>3.0628148752379047</v>
      </c>
      <c r="D26" s="202"/>
      <c r="E26" s="92" t="s">
        <v>70</v>
      </c>
      <c r="F26" s="88">
        <f>I14</f>
        <v>9273.8300394252637</v>
      </c>
      <c r="G26" s="97">
        <f>(F26/J26)*100</f>
        <v>5.7096472606476993</v>
      </c>
      <c r="H26" s="5"/>
      <c r="I26" s="92" t="s">
        <v>65</v>
      </c>
      <c r="J26" s="98">
        <f>'zestawienie zużycie'!J15</f>
        <v>162423.86991824859</v>
      </c>
    </row>
    <row r="27" spans="1:15" ht="63.75" x14ac:dyDescent="0.2">
      <c r="A27" s="92" t="s">
        <v>66</v>
      </c>
      <c r="B27" s="88">
        <f>B15+M25</f>
        <v>21925.026412299998</v>
      </c>
      <c r="C27" s="97">
        <f>(B27/J27)*100</f>
        <v>13.498647965557852</v>
      </c>
      <c r="D27" s="202"/>
      <c r="E27" s="92" t="s">
        <v>66</v>
      </c>
      <c r="F27" s="88">
        <f>I15+M25</f>
        <v>22857.049224599999</v>
      </c>
      <c r="G27" s="97">
        <f>(F27/J27)*100</f>
        <v>14.072469296603044</v>
      </c>
      <c r="H27" s="5"/>
      <c r="I27" s="92" t="s">
        <v>65</v>
      </c>
      <c r="J27" s="98">
        <f>'zestawienie zużycie'!J15</f>
        <v>162423.86991824859</v>
      </c>
    </row>
    <row r="28" spans="1:15" ht="105" x14ac:dyDescent="0.2">
      <c r="A28" s="92" t="s">
        <v>151</v>
      </c>
      <c r="B28" s="88">
        <f>C16</f>
        <v>2362.905565215402</v>
      </c>
      <c r="C28" s="97">
        <f>(B28/J28)*100</f>
        <v>3.8284368992413893</v>
      </c>
      <c r="D28" s="202"/>
      <c r="E28" s="92" t="s">
        <v>151</v>
      </c>
      <c r="F28" s="88">
        <f>J16</f>
        <v>4457.6157749715439</v>
      </c>
      <c r="G28" s="97">
        <f>(F28/J28)*100</f>
        <v>7.2223371796011042</v>
      </c>
      <c r="H28" s="5"/>
      <c r="I28" s="92" t="s">
        <v>152</v>
      </c>
      <c r="J28" s="98">
        <f>'zestawienie emisja CO2'!J15</f>
        <v>61719.851401589389</v>
      </c>
    </row>
    <row r="29" spans="1:15" ht="41.25" x14ac:dyDescent="0.2">
      <c r="A29" s="92" t="s">
        <v>155</v>
      </c>
      <c r="B29" s="68">
        <f>D17</f>
        <v>23.642976601481827</v>
      </c>
      <c r="C29" s="97">
        <f>(B29/J29)*100</f>
        <v>9.4550016851045253</v>
      </c>
      <c r="D29" s="202"/>
      <c r="E29" s="92" t="s">
        <v>155</v>
      </c>
      <c r="F29" s="68">
        <f>K17</f>
        <v>46.040809802963658</v>
      </c>
      <c r="G29" s="97">
        <f>(F29/J29)*100</f>
        <v>18.412061290257117</v>
      </c>
      <c r="H29" s="5"/>
      <c r="I29" s="92" t="s">
        <v>154</v>
      </c>
      <c r="J29" s="69">
        <f>'zestawienie emisja SO2'!J15</f>
        <v>250.05787824162036</v>
      </c>
    </row>
    <row r="30" spans="1:15" ht="51" x14ac:dyDescent="0.2">
      <c r="A30" s="92" t="s">
        <v>153</v>
      </c>
      <c r="B30" s="68">
        <f>E18</f>
        <v>1.3604193036839785</v>
      </c>
      <c r="C30" s="97">
        <f>(B30/J30)*100</f>
        <v>1.1632149985244344</v>
      </c>
      <c r="D30" s="202"/>
      <c r="E30" s="92" t="s">
        <v>153</v>
      </c>
      <c r="F30" s="68">
        <f>L18</f>
        <v>2.456529307367957</v>
      </c>
      <c r="G30" s="97">
        <f>(F30/J30)*100</f>
        <v>2.1004345696266529</v>
      </c>
      <c r="H30" s="5"/>
      <c r="I30" s="92" t="s">
        <v>153</v>
      </c>
      <c r="J30" s="69">
        <f>'zestawienie emisja NOx'!J15</f>
        <v>116.95338397542177</v>
      </c>
    </row>
    <row r="31" spans="1:15" ht="51" x14ac:dyDescent="0.2">
      <c r="A31" s="92" t="s">
        <v>71</v>
      </c>
      <c r="B31" s="88">
        <f>F19</f>
        <v>20.499226282883271</v>
      </c>
      <c r="C31" s="97">
        <f>(B31/J31)*100</f>
        <v>14.011842718314565</v>
      </c>
      <c r="D31" s="202"/>
      <c r="E31" s="92" t="s">
        <v>71</v>
      </c>
      <c r="F31" s="88">
        <f>M19</f>
        <v>40.572479085766538</v>
      </c>
      <c r="G31" s="97">
        <f>(F31/J31)*100</f>
        <v>27.732519647171166</v>
      </c>
      <c r="H31" s="5"/>
      <c r="I31" s="92" t="s">
        <v>67</v>
      </c>
      <c r="J31" s="98">
        <f>'zestawienie emisja PM10'!J15</f>
        <v>146.29928907272983</v>
      </c>
    </row>
    <row r="32" spans="1:15" ht="51" x14ac:dyDescent="0.2">
      <c r="A32" s="92" t="s">
        <v>72</v>
      </c>
      <c r="B32" s="88">
        <f>G20</f>
        <v>20.10570319142661</v>
      </c>
      <c r="C32" s="97">
        <f>(B32/J32)*100</f>
        <v>14.282535037860757</v>
      </c>
      <c r="D32" s="5"/>
      <c r="E32" s="92" t="s">
        <v>72</v>
      </c>
      <c r="F32" s="88">
        <f>N20</f>
        <v>39.806639002853217</v>
      </c>
      <c r="G32" s="97">
        <f>(F32/J32)*100</f>
        <v>28.277534532597699</v>
      </c>
      <c r="H32" s="5"/>
      <c r="I32" s="92" t="s">
        <v>68</v>
      </c>
      <c r="J32" s="98">
        <f>'zestawienie emisja PM2,5'!J15</f>
        <v>140.77125060872982</v>
      </c>
    </row>
    <row r="33" spans="1:11" ht="38.25" x14ac:dyDescent="0.2">
      <c r="A33" s="92" t="s">
        <v>73</v>
      </c>
      <c r="B33" s="88">
        <f>H21</f>
        <v>9.7067510537643109</v>
      </c>
      <c r="C33" s="97">
        <f>(B33/J33)*100</f>
        <v>11.167559835651815</v>
      </c>
      <c r="D33" s="5"/>
      <c r="E33" s="92" t="s">
        <v>73</v>
      </c>
      <c r="F33" s="88">
        <f>O21</f>
        <v>19.097619507528623</v>
      </c>
      <c r="G33" s="97">
        <f>(F33/J33)*100</f>
        <v>21.971698603121066</v>
      </c>
      <c r="H33" s="5"/>
      <c r="I33" s="92" t="s">
        <v>69</v>
      </c>
      <c r="J33" s="98">
        <f>'zestawienie emisja B(a)P'!J63</f>
        <v>86.919176584808142</v>
      </c>
    </row>
    <row r="34" spans="1:1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259" t="s">
        <v>179</v>
      </c>
      <c r="B36" s="259"/>
      <c r="C36" s="259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243" t="s">
        <v>180</v>
      </c>
      <c r="B37" s="245" t="s">
        <v>198</v>
      </c>
      <c r="C37" s="245">
        <v>2022</v>
      </c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183" t="s">
        <v>181</v>
      </c>
      <c r="B38" s="88">
        <v>1000</v>
      </c>
      <c r="C38" s="68">
        <v>2000</v>
      </c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183" t="s">
        <v>182</v>
      </c>
      <c r="B39" s="88">
        <v>2604000</v>
      </c>
      <c r="C39" s="88">
        <v>5208000</v>
      </c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183" t="s">
        <v>183</v>
      </c>
      <c r="B40" s="88">
        <v>252000</v>
      </c>
      <c r="C40" s="68">
        <v>504000</v>
      </c>
      <c r="D40" s="205"/>
      <c r="E40" s="5"/>
      <c r="F40" s="5"/>
      <c r="G40" s="5"/>
      <c r="H40" s="5"/>
      <c r="I40" s="5"/>
      <c r="J40" s="5"/>
      <c r="K40" s="5"/>
    </row>
    <row r="41" spans="1:11" x14ac:dyDescent="0.2">
      <c r="A41" s="203" t="s">
        <v>184</v>
      </c>
      <c r="B41" s="88">
        <v>4480000</v>
      </c>
      <c r="C41" s="68">
        <v>8960000</v>
      </c>
      <c r="D41" s="205"/>
      <c r="E41" s="5"/>
      <c r="F41" s="5"/>
      <c r="G41" s="5"/>
      <c r="H41" s="5"/>
      <c r="I41" s="5"/>
      <c r="J41" s="5"/>
      <c r="K41" s="5"/>
    </row>
    <row r="42" spans="1:11" x14ac:dyDescent="0.2">
      <c r="A42" s="183" t="s">
        <v>185</v>
      </c>
      <c r="B42" s="88">
        <v>1617000</v>
      </c>
      <c r="C42" s="68">
        <v>3234000</v>
      </c>
      <c r="D42" s="205"/>
      <c r="E42" s="5"/>
      <c r="F42" s="5"/>
      <c r="G42" s="5"/>
      <c r="H42" s="5"/>
      <c r="I42" s="5"/>
      <c r="J42" s="5"/>
      <c r="K42" s="5"/>
    </row>
    <row r="43" spans="1:11" x14ac:dyDescent="0.2">
      <c r="A43" s="183" t="s">
        <v>186</v>
      </c>
      <c r="B43" s="88">
        <v>2646000</v>
      </c>
      <c r="C43" s="88">
        <v>5292000</v>
      </c>
      <c r="D43" s="205"/>
      <c r="E43" s="5"/>
      <c r="F43" s="5"/>
      <c r="G43" s="5"/>
      <c r="H43" s="5"/>
      <c r="I43" s="5"/>
      <c r="J43" s="5"/>
      <c r="K43" s="5"/>
    </row>
    <row r="44" spans="1:11" x14ac:dyDescent="0.2">
      <c r="A44" s="183" t="s">
        <v>199</v>
      </c>
      <c r="B44" s="88">
        <v>154000</v>
      </c>
      <c r="C44" s="68">
        <v>308000</v>
      </c>
      <c r="D44" s="205"/>
      <c r="E44" s="5"/>
      <c r="F44" s="5"/>
      <c r="G44" s="5"/>
      <c r="H44" s="5"/>
      <c r="I44" s="5"/>
      <c r="J44" s="5"/>
      <c r="K44" s="5"/>
    </row>
    <row r="45" spans="1:11" x14ac:dyDescent="0.2">
      <c r="A45" s="183" t="s">
        <v>11</v>
      </c>
      <c r="B45" s="98">
        <f>SUM(B38:B44)</f>
        <v>11754000</v>
      </c>
      <c r="C45" s="69">
        <f>SUM(C38:C44)</f>
        <v>23508000</v>
      </c>
      <c r="D45" s="208"/>
      <c r="E45" s="5"/>
      <c r="F45" s="5"/>
      <c r="G45" s="5"/>
      <c r="H45" s="5"/>
      <c r="I45" s="5"/>
      <c r="J45" s="5"/>
      <c r="K45" s="5"/>
    </row>
    <row r="97" spans="1:4" x14ac:dyDescent="0.2">
      <c r="A97" s="186"/>
      <c r="B97" s="186"/>
      <c r="C97" s="186"/>
      <c r="D97" s="186"/>
    </row>
    <row r="98" spans="1:4" x14ac:dyDescent="0.2">
      <c r="A98" s="187"/>
      <c r="B98" s="187"/>
      <c r="C98" s="187"/>
      <c r="D98" s="186"/>
    </row>
    <row r="99" spans="1:4" x14ac:dyDescent="0.2">
      <c r="A99" s="3"/>
      <c r="B99" s="3"/>
      <c r="C99" s="3"/>
      <c r="D99" s="186"/>
    </row>
    <row r="100" spans="1:4" x14ac:dyDescent="0.2">
      <c r="A100" s="188"/>
      <c r="B100" s="188"/>
      <c r="C100" s="188"/>
      <c r="D100" s="186"/>
    </row>
    <row r="101" spans="1:4" x14ac:dyDescent="0.2">
      <c r="A101" s="186"/>
      <c r="B101" s="186"/>
      <c r="C101" s="186"/>
      <c r="D101" s="186"/>
    </row>
    <row r="102" spans="1:4" x14ac:dyDescent="0.2">
      <c r="A102" s="186"/>
      <c r="B102" s="186"/>
      <c r="C102" s="186"/>
      <c r="D102" s="186"/>
    </row>
    <row r="103" spans="1:4" x14ac:dyDescent="0.2">
      <c r="A103" s="186"/>
      <c r="B103" s="186"/>
      <c r="C103" s="186"/>
      <c r="D103" s="186"/>
    </row>
    <row r="104" spans="1:4" x14ac:dyDescent="0.2">
      <c r="A104" s="187"/>
      <c r="B104" s="187"/>
      <c r="C104" s="187"/>
      <c r="D104" s="186"/>
    </row>
    <row r="105" spans="1:4" x14ac:dyDescent="0.2">
      <c r="A105" s="187"/>
      <c r="B105" s="187"/>
      <c r="C105" s="187"/>
      <c r="D105" s="186"/>
    </row>
    <row r="106" spans="1:4" x14ac:dyDescent="0.2">
      <c r="A106" s="187"/>
      <c r="B106" s="187"/>
      <c r="C106" s="187"/>
      <c r="D106" s="186"/>
    </row>
    <row r="107" spans="1:4" ht="15" x14ac:dyDescent="0.2">
      <c r="A107" s="189"/>
      <c r="B107" s="189"/>
      <c r="C107" s="3"/>
      <c r="D107" s="186"/>
    </row>
    <row r="108" spans="1:4" ht="15" x14ac:dyDescent="0.2">
      <c r="A108" s="189"/>
      <c r="B108" s="189"/>
      <c r="C108" s="188"/>
      <c r="D108" s="186"/>
    </row>
    <row r="109" spans="1:4" x14ac:dyDescent="0.2">
      <c r="A109" s="190"/>
      <c r="B109" s="190"/>
      <c r="C109" s="186"/>
      <c r="D109" s="186"/>
    </row>
    <row r="110" spans="1:4" x14ac:dyDescent="0.2">
      <c r="A110" s="191"/>
      <c r="B110" s="191"/>
      <c r="C110" s="187"/>
      <c r="D110" s="186"/>
    </row>
    <row r="111" spans="1:4" x14ac:dyDescent="0.2">
      <c r="A111" s="191"/>
      <c r="B111" s="191"/>
      <c r="C111" s="3"/>
      <c r="D111" s="186"/>
    </row>
    <row r="112" spans="1:4" x14ac:dyDescent="0.2">
      <c r="A112" s="192"/>
      <c r="B112" s="192"/>
      <c r="C112" s="188"/>
      <c r="D112" s="186"/>
    </row>
    <row r="113" spans="1:4" x14ac:dyDescent="0.2">
      <c r="A113" s="192"/>
      <c r="B113" s="192"/>
      <c r="C113" s="186"/>
      <c r="D113" s="186"/>
    </row>
    <row r="114" spans="1:4" ht="15" x14ac:dyDescent="0.2">
      <c r="A114" s="189"/>
      <c r="B114" s="189"/>
      <c r="C114" s="186"/>
      <c r="D114" s="186"/>
    </row>
    <row r="115" spans="1:4" x14ac:dyDescent="0.2">
      <c r="A115" s="191"/>
      <c r="B115" s="191"/>
      <c r="C115" s="186"/>
      <c r="D115" s="186"/>
    </row>
    <row r="116" spans="1:4" x14ac:dyDescent="0.2">
      <c r="A116" s="191"/>
      <c r="B116" s="191"/>
    </row>
    <row r="117" spans="1:4" x14ac:dyDescent="0.2">
      <c r="A117" s="191"/>
      <c r="B117" s="191"/>
    </row>
    <row r="118" spans="1:4" x14ac:dyDescent="0.2">
      <c r="A118" s="192"/>
      <c r="B118" s="192"/>
    </row>
    <row r="119" spans="1:4" x14ac:dyDescent="0.2">
      <c r="A119" s="192"/>
      <c r="B119" s="192"/>
    </row>
    <row r="120" spans="1:4" ht="15" x14ac:dyDescent="0.2">
      <c r="A120" s="189"/>
      <c r="B120" s="189"/>
    </row>
    <row r="121" spans="1:4" x14ac:dyDescent="0.2">
      <c r="A121" s="191"/>
      <c r="B121" s="191"/>
    </row>
    <row r="122" spans="1:4" x14ac:dyDescent="0.2">
      <c r="A122" s="191"/>
      <c r="B122" s="191"/>
    </row>
    <row r="123" spans="1:4" x14ac:dyDescent="0.2">
      <c r="A123" s="191"/>
      <c r="B123" s="191"/>
    </row>
    <row r="124" spans="1:4" x14ac:dyDescent="0.2">
      <c r="A124" s="191"/>
      <c r="B124" s="191"/>
    </row>
    <row r="125" spans="1:4" x14ac:dyDescent="0.2">
      <c r="A125" s="191"/>
      <c r="B125" s="191"/>
    </row>
    <row r="126" spans="1:4" ht="15" x14ac:dyDescent="0.2">
      <c r="A126" s="189"/>
      <c r="B126" s="189"/>
    </row>
  </sheetData>
  <mergeCells count="8">
    <mergeCell ref="A36:C36"/>
    <mergeCell ref="A1:A2"/>
    <mergeCell ref="B1:H1"/>
    <mergeCell ref="A24:C24"/>
    <mergeCell ref="I1:O1"/>
    <mergeCell ref="E24:G24"/>
    <mergeCell ref="I24:J24"/>
    <mergeCell ref="L24:M2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2" sqref="A22:E24"/>
    </sheetView>
  </sheetViews>
  <sheetFormatPr defaultRowHeight="15" x14ac:dyDescent="0.25"/>
  <cols>
    <col min="1" max="1" width="19.28515625" bestFit="1" customWidth="1"/>
    <col min="2" max="2" width="21.7109375" bestFit="1" customWidth="1"/>
    <col min="3" max="3" width="15.42578125" customWidth="1"/>
    <col min="4" max="4" width="21.7109375" customWidth="1"/>
    <col min="5" max="5" width="14.140625" customWidth="1"/>
    <col min="6" max="6" width="12.42578125" bestFit="1" customWidth="1"/>
    <col min="7" max="7" width="13.42578125" bestFit="1" customWidth="1"/>
    <col min="8" max="8" width="7.140625" bestFit="1" customWidth="1"/>
  </cols>
  <sheetData>
    <row r="1" spans="1:8" x14ac:dyDescent="0.25">
      <c r="A1" s="246" t="s">
        <v>27</v>
      </c>
      <c r="B1" s="247"/>
      <c r="C1" s="247"/>
      <c r="D1" s="247"/>
      <c r="E1" s="247"/>
      <c r="F1" s="247"/>
      <c r="G1" s="248"/>
      <c r="H1" s="12"/>
    </row>
    <row r="2" spans="1:8" x14ac:dyDescent="0.25">
      <c r="A2" s="220"/>
      <c r="B2" s="216" t="s">
        <v>0</v>
      </c>
      <c r="C2" s="216" t="s">
        <v>165</v>
      </c>
      <c r="D2" s="216" t="s">
        <v>5</v>
      </c>
      <c r="E2" s="216" t="s">
        <v>6</v>
      </c>
      <c r="F2" s="216" t="s">
        <v>13</v>
      </c>
      <c r="G2" s="216" t="s">
        <v>11</v>
      </c>
      <c r="H2" s="13"/>
    </row>
    <row r="3" spans="1:8" x14ac:dyDescent="0.25">
      <c r="A3" s="56" t="s">
        <v>28</v>
      </c>
      <c r="B3" s="67">
        <f>'zużycie całkowite i emisja'!B21</f>
        <v>419.46899999999999</v>
      </c>
      <c r="C3" s="67">
        <f>'zużycie całkowite i emisja'!C21</f>
        <v>0</v>
      </c>
      <c r="D3" s="67">
        <f>'zużycie całkowite i emisja'!D21</f>
        <v>565.39</v>
      </c>
      <c r="E3" s="67">
        <f>'zużycie całkowite i emisja'!E21</f>
        <v>878.68765000000008</v>
      </c>
      <c r="F3" s="67">
        <f>'zużycie całkowite i emisja'!F21</f>
        <v>72</v>
      </c>
      <c r="G3" s="67">
        <f>SUM(B3:F3)</f>
        <v>1935.54665</v>
      </c>
      <c r="H3" s="14"/>
    </row>
    <row r="4" spans="1:8" x14ac:dyDescent="0.25">
      <c r="A4" s="56" t="s">
        <v>29</v>
      </c>
      <c r="B4" s="56">
        <f>(B3*100)/$G$3</f>
        <v>21.671862055094358</v>
      </c>
      <c r="C4" s="56">
        <f t="shared" ref="C4:F4" si="0">(C3*100)/$G$3</f>
        <v>0</v>
      </c>
      <c r="D4" s="56">
        <f t="shared" si="0"/>
        <v>29.210869187782169</v>
      </c>
      <c r="E4" s="56">
        <f t="shared" si="0"/>
        <v>45.39738941450986</v>
      </c>
      <c r="F4" s="56">
        <f t="shared" si="0"/>
        <v>3.719879342613623</v>
      </c>
      <c r="G4" s="67">
        <f t="shared" ref="G4:G6" si="1">SUM(B4:F4)</f>
        <v>100.00000000000001</v>
      </c>
      <c r="H4" s="14"/>
    </row>
    <row r="5" spans="1:8" x14ac:dyDescent="0.25">
      <c r="A5" s="56" t="s">
        <v>30</v>
      </c>
      <c r="B5" s="56">
        <f>'zużycie całkowite i emisja'!B50</f>
        <v>340.60882800000002</v>
      </c>
      <c r="C5" s="56">
        <f>'zużycie całkowite i emisja'!C50</f>
        <v>0</v>
      </c>
      <c r="D5" s="56">
        <f>'zużycie całkowite i emisja'!D50</f>
        <v>195.62493999999998</v>
      </c>
      <c r="E5" s="56">
        <f>'zużycie całkowite i emisja'!E50</f>
        <v>245.15385435000005</v>
      </c>
      <c r="F5" s="56">
        <f>'zużycie całkowite i emisja'!F50</f>
        <v>14.472000000000001</v>
      </c>
      <c r="G5" s="67">
        <f>SUM(B5:F5)</f>
        <v>795.85962235000011</v>
      </c>
      <c r="H5" s="14"/>
    </row>
    <row r="6" spans="1:8" x14ac:dyDescent="0.25">
      <c r="A6" s="29" t="s">
        <v>31</v>
      </c>
      <c r="B6" s="56">
        <f>(B5*100)/$G$5</f>
        <v>42.797601289817457</v>
      </c>
      <c r="C6" s="56">
        <f t="shared" ref="C6:F6" si="2">(C5*100)/$G$5</f>
        <v>0</v>
      </c>
      <c r="D6" s="56">
        <f t="shared" si="2"/>
        <v>24.580332323225814</v>
      </c>
      <c r="E6" s="56">
        <f t="shared" si="2"/>
        <v>30.803655250924038</v>
      </c>
      <c r="F6" s="56">
        <f t="shared" si="2"/>
        <v>1.8184111360326758</v>
      </c>
      <c r="G6" s="67">
        <f t="shared" si="1"/>
        <v>99.999999999999986</v>
      </c>
      <c r="H6" s="14"/>
    </row>
    <row r="7" spans="1:8" x14ac:dyDescent="0.25">
      <c r="A7" s="48"/>
      <c r="B7" s="48"/>
      <c r="C7" s="48"/>
      <c r="D7" s="48"/>
      <c r="E7" s="48"/>
      <c r="F7" s="48"/>
      <c r="G7" s="48"/>
      <c r="H7" s="8"/>
    </row>
    <row r="8" spans="1:8" x14ac:dyDescent="0.25">
      <c r="A8" s="29"/>
      <c r="B8" s="48"/>
      <c r="C8" s="48"/>
      <c r="D8" s="48"/>
      <c r="E8" s="48"/>
      <c r="F8" s="48"/>
      <c r="G8" s="48"/>
      <c r="H8" s="8"/>
    </row>
    <row r="9" spans="1:8" x14ac:dyDescent="0.25">
      <c r="A9" s="48"/>
      <c r="B9" s="48"/>
      <c r="C9" s="48"/>
      <c r="D9" s="48"/>
      <c r="E9" s="48"/>
      <c r="F9" s="48"/>
      <c r="G9" s="48"/>
      <c r="H9" s="8"/>
    </row>
    <row r="10" spans="1:8" x14ac:dyDescent="0.25">
      <c r="A10" s="261" t="s">
        <v>32</v>
      </c>
      <c r="B10" s="262"/>
      <c r="C10" s="262"/>
      <c r="D10" s="262"/>
      <c r="E10" s="263"/>
      <c r="F10" s="48"/>
      <c r="G10" s="48"/>
      <c r="H10" s="8"/>
    </row>
    <row r="11" spans="1:8" x14ac:dyDescent="0.25">
      <c r="A11" s="220" t="s">
        <v>0</v>
      </c>
      <c r="B11" s="216" t="s">
        <v>5</v>
      </c>
      <c r="C11" s="216" t="s">
        <v>6</v>
      </c>
      <c r="D11" s="216" t="s">
        <v>13</v>
      </c>
      <c r="E11" s="216" t="s">
        <v>11</v>
      </c>
      <c r="F11" s="48"/>
      <c r="G11" s="48"/>
      <c r="H11" s="8"/>
    </row>
    <row r="12" spans="1:8" x14ac:dyDescent="0.25">
      <c r="A12" s="56">
        <f>B3</f>
        <v>419.46899999999999</v>
      </c>
      <c r="B12" s="56">
        <f>D3</f>
        <v>565.39</v>
      </c>
      <c r="C12" s="56">
        <f t="shared" ref="C12:D12" si="3">E3</f>
        <v>878.68765000000008</v>
      </c>
      <c r="D12" s="56">
        <f t="shared" si="3"/>
        <v>72</v>
      </c>
      <c r="E12" s="162">
        <f>G3</f>
        <v>1935.54665</v>
      </c>
      <c r="F12" s="48"/>
      <c r="G12" s="48"/>
      <c r="H12" s="8"/>
    </row>
    <row r="13" spans="1:8" x14ac:dyDescent="0.25">
      <c r="A13" s="48"/>
      <c r="B13" s="48"/>
      <c r="C13" s="48"/>
      <c r="D13" s="7"/>
      <c r="E13" s="7"/>
      <c r="F13" s="48"/>
      <c r="G13" s="48"/>
      <c r="H13" s="8"/>
    </row>
    <row r="14" spans="1:8" x14ac:dyDescent="0.25">
      <c r="A14" s="261" t="s">
        <v>33</v>
      </c>
      <c r="B14" s="262"/>
      <c r="C14" s="262"/>
      <c r="D14" s="262"/>
      <c r="E14" s="263"/>
      <c r="F14" s="48"/>
      <c r="G14" s="48"/>
      <c r="H14" s="8"/>
    </row>
    <row r="15" spans="1:8" x14ac:dyDescent="0.25">
      <c r="A15" s="220" t="s">
        <v>0</v>
      </c>
      <c r="B15" s="216" t="s">
        <v>5</v>
      </c>
      <c r="C15" s="216" t="s">
        <v>6</v>
      </c>
      <c r="D15" s="216" t="s">
        <v>13</v>
      </c>
      <c r="E15" s="216" t="s">
        <v>11</v>
      </c>
      <c r="F15" s="48"/>
      <c r="G15" s="48"/>
      <c r="H15" s="8"/>
    </row>
    <row r="16" spans="1:8" x14ac:dyDescent="0.25">
      <c r="A16" s="56">
        <f>B4</f>
        <v>21.671862055094358</v>
      </c>
      <c r="B16" s="56">
        <f>D4</f>
        <v>29.210869187782169</v>
      </c>
      <c r="C16" s="56">
        <f t="shared" ref="C16:D16" si="4">E4</f>
        <v>45.39738941450986</v>
      </c>
      <c r="D16" s="56">
        <f t="shared" si="4"/>
        <v>3.719879342613623</v>
      </c>
      <c r="E16" s="162">
        <f>G4</f>
        <v>100.00000000000001</v>
      </c>
      <c r="F16" s="48"/>
      <c r="G16" s="48"/>
      <c r="H16" s="8"/>
    </row>
    <row r="17" spans="1:8" x14ac:dyDescent="0.25">
      <c r="A17" s="48"/>
      <c r="B17" s="48"/>
      <c r="C17" s="48"/>
      <c r="D17" s="7"/>
      <c r="E17" s="7"/>
      <c r="F17" s="48"/>
      <c r="G17" s="48"/>
      <c r="H17" s="8"/>
    </row>
    <row r="18" spans="1:8" x14ac:dyDescent="0.25">
      <c r="A18" s="261" t="s">
        <v>74</v>
      </c>
      <c r="B18" s="262"/>
      <c r="C18" s="262"/>
      <c r="D18" s="262"/>
      <c r="E18" s="263"/>
      <c r="F18" s="48"/>
      <c r="G18" s="48"/>
      <c r="H18" s="8"/>
    </row>
    <row r="19" spans="1:8" x14ac:dyDescent="0.25">
      <c r="A19" s="220" t="s">
        <v>0</v>
      </c>
      <c r="B19" s="216" t="s">
        <v>5</v>
      </c>
      <c r="C19" s="216" t="s">
        <v>6</v>
      </c>
      <c r="D19" s="216" t="s">
        <v>13</v>
      </c>
      <c r="E19" s="216" t="s">
        <v>11</v>
      </c>
      <c r="F19" s="48"/>
      <c r="G19" s="48"/>
      <c r="H19" s="8"/>
    </row>
    <row r="20" spans="1:8" x14ac:dyDescent="0.25">
      <c r="A20" s="56">
        <f>B5</f>
        <v>340.60882800000002</v>
      </c>
      <c r="B20" s="56">
        <f>D5</f>
        <v>195.62493999999998</v>
      </c>
      <c r="C20" s="56">
        <f t="shared" ref="C20:D20" si="5">E5</f>
        <v>245.15385435000005</v>
      </c>
      <c r="D20" s="56">
        <f t="shared" si="5"/>
        <v>14.472000000000001</v>
      </c>
      <c r="E20" s="162">
        <f>G5</f>
        <v>795.85962235000011</v>
      </c>
      <c r="F20" s="48"/>
      <c r="G20" s="48"/>
      <c r="H20" s="8"/>
    </row>
    <row r="21" spans="1:8" x14ac:dyDescent="0.25">
      <c r="A21" s="48"/>
      <c r="B21" s="48"/>
      <c r="C21" s="48"/>
      <c r="D21" s="7"/>
      <c r="E21" s="7"/>
      <c r="F21" s="48"/>
      <c r="G21" s="48"/>
      <c r="H21" s="8"/>
    </row>
    <row r="22" spans="1:8" x14ac:dyDescent="0.25">
      <c r="A22" s="261" t="s">
        <v>75</v>
      </c>
      <c r="B22" s="262"/>
      <c r="C22" s="262"/>
      <c r="D22" s="262"/>
      <c r="E22" s="263"/>
      <c r="F22" s="48"/>
      <c r="G22" s="48"/>
      <c r="H22" s="8"/>
    </row>
    <row r="23" spans="1:8" x14ac:dyDescent="0.25">
      <c r="A23" s="220" t="s">
        <v>0</v>
      </c>
      <c r="B23" s="216" t="s">
        <v>5</v>
      </c>
      <c r="C23" s="216" t="s">
        <v>6</v>
      </c>
      <c r="D23" s="216" t="s">
        <v>13</v>
      </c>
      <c r="E23" s="216" t="s">
        <v>11</v>
      </c>
      <c r="F23" s="48"/>
      <c r="G23" s="48"/>
      <c r="H23" s="8"/>
    </row>
    <row r="24" spans="1:8" x14ac:dyDescent="0.25">
      <c r="A24" s="56">
        <f>B6</f>
        <v>42.797601289817457</v>
      </c>
      <c r="B24" s="56">
        <f>D6</f>
        <v>24.580332323225814</v>
      </c>
      <c r="C24" s="56">
        <f t="shared" ref="C24:D24" si="6">E6</f>
        <v>30.803655250924038</v>
      </c>
      <c r="D24" s="56">
        <f t="shared" si="6"/>
        <v>1.8184111360326758</v>
      </c>
      <c r="E24" s="56">
        <f>G6</f>
        <v>99.999999999999986</v>
      </c>
      <c r="F24" s="48"/>
      <c r="G24" s="48"/>
      <c r="H24" s="8"/>
    </row>
    <row r="25" spans="1:8" x14ac:dyDescent="0.25">
      <c r="A25" s="21"/>
      <c r="B25" s="21"/>
      <c r="C25" s="21"/>
      <c r="D25" s="7"/>
      <c r="E25" s="11"/>
      <c r="F25" s="8"/>
      <c r="G25" s="8"/>
      <c r="H25" s="8"/>
    </row>
  </sheetData>
  <mergeCells count="5">
    <mergeCell ref="A1:G1"/>
    <mergeCell ref="A10:E10"/>
    <mergeCell ref="A14:E14"/>
    <mergeCell ref="A18:E18"/>
    <mergeCell ref="A22:E2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2" sqref="A22:D24"/>
    </sheetView>
  </sheetViews>
  <sheetFormatPr defaultRowHeight="15" x14ac:dyDescent="0.25"/>
  <cols>
    <col min="1" max="1" width="19.28515625" style="44" bestFit="1" customWidth="1"/>
    <col min="2" max="2" width="21.7109375" style="44" bestFit="1" customWidth="1"/>
    <col min="3" max="3" width="26.85546875" style="44" customWidth="1"/>
    <col min="4" max="4" width="28.140625" style="44" customWidth="1"/>
    <col min="5" max="5" width="14.140625" style="44" customWidth="1"/>
    <col min="6" max="6" width="30.42578125" style="44" customWidth="1"/>
    <col min="7" max="16384" width="9.140625" style="44"/>
  </cols>
  <sheetData>
    <row r="1" spans="1:6" x14ac:dyDescent="0.25">
      <c r="A1" s="249" t="s">
        <v>27</v>
      </c>
      <c r="B1" s="249"/>
      <c r="C1" s="249"/>
      <c r="D1" s="249"/>
      <c r="E1" s="249"/>
      <c r="F1" s="12"/>
    </row>
    <row r="2" spans="1:6" x14ac:dyDescent="0.25">
      <c r="A2" s="220"/>
      <c r="B2" s="221" t="s">
        <v>8</v>
      </c>
      <c r="C2" s="221" t="s">
        <v>7</v>
      </c>
      <c r="D2" s="221" t="s">
        <v>14</v>
      </c>
      <c r="E2" s="221" t="s">
        <v>11</v>
      </c>
      <c r="F2" s="13"/>
    </row>
    <row r="3" spans="1:6" x14ac:dyDescent="0.25">
      <c r="A3" s="167" t="s">
        <v>28</v>
      </c>
      <c r="B3" s="168">
        <f>'zużycie całkowite i emisja'!G21</f>
        <v>18.399999999999999</v>
      </c>
      <c r="C3" s="168">
        <f>'zużycie całkowite i emisja'!H21</f>
        <v>175</v>
      </c>
      <c r="D3" s="168">
        <f>'zużycie całkowite i emisja'!I21</f>
        <v>0</v>
      </c>
      <c r="E3" s="168">
        <f>SUM(B3:D3)</f>
        <v>193.4</v>
      </c>
      <c r="F3" s="54"/>
    </row>
    <row r="4" spans="1:6" x14ac:dyDescent="0.25">
      <c r="A4" s="167" t="s">
        <v>29</v>
      </c>
      <c r="B4" s="167">
        <f>(B3/$E$3)*100</f>
        <v>9.5139607032057896</v>
      </c>
      <c r="C4" s="167">
        <f t="shared" ref="C4:D4" si="0">(C3/$E$3)*100</f>
        <v>90.486039296794203</v>
      </c>
      <c r="D4" s="167">
        <f t="shared" si="0"/>
        <v>0</v>
      </c>
      <c r="E4" s="168">
        <f t="shared" ref="E4:E6" si="1">SUM(B4:D4)</f>
        <v>100</v>
      </c>
      <c r="F4" s="54"/>
    </row>
    <row r="5" spans="1:6" x14ac:dyDescent="0.25">
      <c r="A5" s="167" t="s">
        <v>30</v>
      </c>
      <c r="B5" s="167">
        <f>'zużycie całkowite i emisja'!G50</f>
        <v>4.5815999999999999</v>
      </c>
      <c r="C5" s="167">
        <f>'zużycie całkowite i emisja'!H50</f>
        <v>46.725000000000001</v>
      </c>
      <c r="D5" s="167">
        <f>'zużycie całkowite i emisja'!I50</f>
        <v>0</v>
      </c>
      <c r="E5" s="168">
        <f t="shared" si="1"/>
        <v>51.306600000000003</v>
      </c>
      <c r="F5" s="54"/>
    </row>
    <row r="6" spans="1:6" x14ac:dyDescent="0.25">
      <c r="A6" s="29" t="s">
        <v>31</v>
      </c>
      <c r="B6" s="167">
        <f>(B5/$E$5)*100</f>
        <v>8.9298452830629973</v>
      </c>
      <c r="C6" s="167">
        <f t="shared" ref="C6:D6" si="2">(C5/$E$5)*100</f>
        <v>91.070154716936997</v>
      </c>
      <c r="D6" s="167">
        <f t="shared" si="2"/>
        <v>0</v>
      </c>
      <c r="E6" s="168">
        <f t="shared" si="1"/>
        <v>100</v>
      </c>
      <c r="F6" s="54"/>
    </row>
    <row r="7" spans="1:6" x14ac:dyDescent="0.25">
      <c r="A7" s="48"/>
      <c r="B7" s="48"/>
      <c r="C7" s="48"/>
      <c r="D7" s="48"/>
      <c r="E7" s="48"/>
      <c r="F7" s="43"/>
    </row>
    <row r="8" spans="1:6" x14ac:dyDescent="0.25">
      <c r="A8" s="29"/>
      <c r="B8" s="48"/>
      <c r="C8" s="48"/>
      <c r="D8" s="48"/>
      <c r="E8" s="48"/>
      <c r="F8" s="43"/>
    </row>
    <row r="9" spans="1:6" x14ac:dyDescent="0.25">
      <c r="A9" s="48"/>
      <c r="B9" s="48"/>
      <c r="C9" s="48"/>
      <c r="D9" s="48"/>
      <c r="E9" s="48"/>
      <c r="F9" s="43"/>
    </row>
    <row r="10" spans="1:6" x14ac:dyDescent="0.25">
      <c r="A10" s="264" t="s">
        <v>32</v>
      </c>
      <c r="B10" s="264"/>
      <c r="C10" s="264"/>
      <c r="D10" s="264"/>
      <c r="E10" s="76"/>
      <c r="F10" s="43"/>
    </row>
    <row r="11" spans="1:6" x14ac:dyDescent="0.25">
      <c r="A11" s="221" t="s">
        <v>8</v>
      </c>
      <c r="B11" s="221" t="s">
        <v>7</v>
      </c>
      <c r="C11" s="221" t="s">
        <v>14</v>
      </c>
      <c r="D11" s="216" t="s">
        <v>11</v>
      </c>
      <c r="E11" s="166"/>
      <c r="F11" s="43"/>
    </row>
    <row r="12" spans="1:6" x14ac:dyDescent="0.25">
      <c r="A12" s="167">
        <f>B3</f>
        <v>18.399999999999999</v>
      </c>
      <c r="B12" s="167">
        <f t="shared" ref="B12:D12" si="3">C3</f>
        <v>175</v>
      </c>
      <c r="C12" s="167">
        <f t="shared" si="3"/>
        <v>0</v>
      </c>
      <c r="D12" s="167">
        <f t="shared" si="3"/>
        <v>193.4</v>
      </c>
      <c r="E12" s="166"/>
      <c r="F12" s="43"/>
    </row>
    <row r="13" spans="1:6" x14ac:dyDescent="0.25">
      <c r="A13" s="48"/>
      <c r="B13" s="48"/>
      <c r="C13" s="48"/>
      <c r="D13" s="7"/>
      <c r="E13" s="7"/>
      <c r="F13" s="43"/>
    </row>
    <row r="14" spans="1:6" x14ac:dyDescent="0.25">
      <c r="A14" s="264" t="s">
        <v>33</v>
      </c>
      <c r="B14" s="264"/>
      <c r="C14" s="264"/>
      <c r="D14" s="264"/>
      <c r="E14" s="76"/>
      <c r="F14" s="43"/>
    </row>
    <row r="15" spans="1:6" x14ac:dyDescent="0.25">
      <c r="A15" s="221" t="s">
        <v>8</v>
      </c>
      <c r="B15" s="221" t="s">
        <v>7</v>
      </c>
      <c r="C15" s="221" t="s">
        <v>14</v>
      </c>
      <c r="D15" s="216" t="s">
        <v>11</v>
      </c>
      <c r="E15" s="166"/>
      <c r="F15" s="43"/>
    </row>
    <row r="16" spans="1:6" x14ac:dyDescent="0.25">
      <c r="A16" s="167">
        <f>B4</f>
        <v>9.5139607032057896</v>
      </c>
      <c r="B16" s="167">
        <f t="shared" ref="B16:D16" si="4">C4</f>
        <v>90.486039296794203</v>
      </c>
      <c r="C16" s="167">
        <f t="shared" si="4"/>
        <v>0</v>
      </c>
      <c r="D16" s="167">
        <f t="shared" si="4"/>
        <v>100</v>
      </c>
      <c r="E16" s="166"/>
      <c r="F16" s="43"/>
    </row>
    <row r="17" spans="1:6" x14ac:dyDescent="0.25">
      <c r="A17" s="48"/>
      <c r="B17" s="48"/>
      <c r="C17" s="48"/>
      <c r="D17" s="7"/>
      <c r="E17" s="7"/>
      <c r="F17" s="43"/>
    </row>
    <row r="18" spans="1:6" x14ac:dyDescent="0.25">
      <c r="A18" s="264" t="s">
        <v>74</v>
      </c>
      <c r="B18" s="264"/>
      <c r="C18" s="264"/>
      <c r="D18" s="264"/>
      <c r="E18" s="76"/>
      <c r="F18" s="43"/>
    </row>
    <row r="19" spans="1:6" x14ac:dyDescent="0.25">
      <c r="A19" s="221" t="s">
        <v>8</v>
      </c>
      <c r="B19" s="221" t="s">
        <v>7</v>
      </c>
      <c r="C19" s="221" t="s">
        <v>14</v>
      </c>
      <c r="D19" s="216" t="s">
        <v>11</v>
      </c>
      <c r="E19" s="166"/>
      <c r="F19" s="43"/>
    </row>
    <row r="20" spans="1:6" x14ac:dyDescent="0.25">
      <c r="A20" s="167">
        <f>B5</f>
        <v>4.5815999999999999</v>
      </c>
      <c r="B20" s="167">
        <f t="shared" ref="B20:D20" si="5">C5</f>
        <v>46.725000000000001</v>
      </c>
      <c r="C20" s="167">
        <f t="shared" si="5"/>
        <v>0</v>
      </c>
      <c r="D20" s="167">
        <f t="shared" si="5"/>
        <v>51.306600000000003</v>
      </c>
      <c r="E20" s="166"/>
      <c r="F20" s="43"/>
    </row>
    <row r="21" spans="1:6" x14ac:dyDescent="0.25">
      <c r="A21" s="48"/>
      <c r="B21" s="48"/>
      <c r="C21" s="48"/>
      <c r="D21" s="7"/>
      <c r="E21" s="7"/>
      <c r="F21" s="43"/>
    </row>
    <row r="22" spans="1:6" x14ac:dyDescent="0.25">
      <c r="A22" s="264" t="s">
        <v>75</v>
      </c>
      <c r="B22" s="264"/>
      <c r="C22" s="264"/>
      <c r="D22" s="264"/>
      <c r="E22" s="76"/>
      <c r="F22" s="43"/>
    </row>
    <row r="23" spans="1:6" x14ac:dyDescent="0.25">
      <c r="A23" s="221" t="s">
        <v>8</v>
      </c>
      <c r="B23" s="221" t="s">
        <v>7</v>
      </c>
      <c r="C23" s="221" t="s">
        <v>14</v>
      </c>
      <c r="D23" s="216" t="s">
        <v>11</v>
      </c>
      <c r="E23" s="165"/>
      <c r="F23" s="43"/>
    </row>
    <row r="24" spans="1:6" x14ac:dyDescent="0.25">
      <c r="A24" s="167">
        <f>B6</f>
        <v>8.9298452830629973</v>
      </c>
      <c r="B24" s="167">
        <f t="shared" ref="B24:D24" si="6">C6</f>
        <v>91.070154716936997</v>
      </c>
      <c r="C24" s="167">
        <f t="shared" si="6"/>
        <v>0</v>
      </c>
      <c r="D24" s="167">
        <f t="shared" si="6"/>
        <v>100</v>
      </c>
      <c r="E24" s="165"/>
      <c r="F24" s="43"/>
    </row>
    <row r="25" spans="1:6" x14ac:dyDescent="0.25">
      <c r="A25" s="48"/>
      <c r="B25" s="48"/>
      <c r="C25" s="48"/>
      <c r="D25" s="7"/>
      <c r="E25" s="11"/>
      <c r="F25" s="43"/>
    </row>
  </sheetData>
  <mergeCells count="5">
    <mergeCell ref="A22:D22"/>
    <mergeCell ref="A18:D18"/>
    <mergeCell ref="A14:D14"/>
    <mergeCell ref="A10:D10"/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2" sqref="A22:F24"/>
    </sheetView>
  </sheetViews>
  <sheetFormatPr defaultRowHeight="15" x14ac:dyDescent="0.25"/>
  <cols>
    <col min="1" max="2" width="18.7109375" bestFit="1" customWidth="1"/>
    <col min="3" max="4" width="14.42578125" bestFit="1" customWidth="1"/>
    <col min="5" max="5" width="12.5703125" bestFit="1" customWidth="1"/>
    <col min="6" max="6" width="15" customWidth="1"/>
    <col min="7" max="9" width="10.28515625" bestFit="1" customWidth="1"/>
  </cols>
  <sheetData>
    <row r="1" spans="1:14" x14ac:dyDescent="0.25">
      <c r="A1" s="249" t="s">
        <v>27</v>
      </c>
      <c r="B1" s="249"/>
      <c r="C1" s="249"/>
      <c r="D1" s="249"/>
      <c r="E1" s="249"/>
      <c r="F1" s="249"/>
      <c r="G1" s="249"/>
      <c r="H1" s="75"/>
      <c r="I1" s="15"/>
      <c r="J1" s="14"/>
      <c r="K1" s="14"/>
      <c r="L1" s="14"/>
      <c r="M1" s="14"/>
      <c r="N1" s="14"/>
    </row>
    <row r="2" spans="1:14" x14ac:dyDescent="0.25">
      <c r="A2" s="220"/>
      <c r="B2" s="216" t="s">
        <v>0</v>
      </c>
      <c r="C2" s="216" t="s">
        <v>165</v>
      </c>
      <c r="D2" s="216" t="s">
        <v>5</v>
      </c>
      <c r="E2" s="216" t="s">
        <v>6</v>
      </c>
      <c r="F2" s="216" t="s">
        <v>13</v>
      </c>
      <c r="G2" s="220" t="s">
        <v>11</v>
      </c>
      <c r="H2" s="54"/>
      <c r="I2" s="13"/>
      <c r="J2" s="14"/>
      <c r="K2" s="14"/>
      <c r="L2" s="14"/>
      <c r="M2" s="14"/>
      <c r="N2" s="14"/>
    </row>
    <row r="3" spans="1:14" x14ac:dyDescent="0.25">
      <c r="A3" s="167" t="s">
        <v>28</v>
      </c>
      <c r="B3" s="168">
        <f>'zużycie całkowite i emisja'!B20</f>
        <v>5766.2669999999998</v>
      </c>
      <c r="C3" s="168">
        <f>'zużycie całkowite i emisja'!C20</f>
        <v>19.18</v>
      </c>
      <c r="D3" s="168">
        <f>'zużycie całkowite i emisja'!D20</f>
        <v>34452.6</v>
      </c>
      <c r="E3" s="168">
        <f>'zużycie całkowite i emisja'!E20</f>
        <v>292.61</v>
      </c>
      <c r="F3" s="168">
        <f>'zużycie całkowite i emisja'!F20</f>
        <v>9952.92</v>
      </c>
      <c r="G3" s="168">
        <f>SUM(B3:F3)</f>
        <v>50483.576999999997</v>
      </c>
      <c r="H3" s="54"/>
      <c r="I3" s="13"/>
      <c r="J3" s="14"/>
      <c r="K3" s="14"/>
      <c r="L3" s="14"/>
      <c r="M3" s="14"/>
      <c r="N3" s="14"/>
    </row>
    <row r="4" spans="1:14" x14ac:dyDescent="0.25">
      <c r="A4" s="167" t="s">
        <v>29</v>
      </c>
      <c r="B4" s="167">
        <f>(B3*100)/$G$3</f>
        <v>11.422065041072663</v>
      </c>
      <c r="C4" s="167">
        <f>(C3*100)/$G$3</f>
        <v>3.799255349913102E-2</v>
      </c>
      <c r="D4" s="167">
        <f>(D3*100)/$G$3</f>
        <v>68.245164164971911</v>
      </c>
      <c r="E4" s="167">
        <f>(E3*100)/$G$3</f>
        <v>0.57961423771536635</v>
      </c>
      <c r="F4" s="167">
        <f>(F3*100)/$G$3</f>
        <v>19.715164002740931</v>
      </c>
      <c r="G4" s="168">
        <f t="shared" ref="G4:G6" si="0">SUM(B4:F4)</f>
        <v>100</v>
      </c>
      <c r="H4" s="54"/>
      <c r="I4" s="13"/>
      <c r="J4" s="14"/>
      <c r="K4" s="14"/>
      <c r="L4" s="14"/>
      <c r="M4" s="14"/>
      <c r="N4" s="14"/>
    </row>
    <row r="5" spans="1:14" x14ac:dyDescent="0.25">
      <c r="A5" s="167" t="s">
        <v>30</v>
      </c>
      <c r="B5" s="168">
        <f>'zużycie całkowite i emisja'!B49</f>
        <v>4682.2088039999999</v>
      </c>
      <c r="C5" s="168">
        <f>'zużycie całkowite i emisja'!C49</f>
        <v>4.3538600000000001</v>
      </c>
      <c r="D5" s="168">
        <f>'zużycie całkowite i emisja'!D49</f>
        <v>11920.599599999998</v>
      </c>
      <c r="E5" s="168">
        <f>'zużycie całkowite i emisja'!E49</f>
        <v>81.638190000000009</v>
      </c>
      <c r="F5" s="168">
        <f>'zużycie całkowite i emisja'!F49</f>
        <v>2000.5369200000002</v>
      </c>
      <c r="G5" s="168">
        <f t="shared" si="0"/>
        <v>18689.337373999999</v>
      </c>
      <c r="H5" s="54"/>
      <c r="I5" s="13"/>
      <c r="J5" s="14"/>
      <c r="K5" s="14"/>
      <c r="L5" s="14"/>
      <c r="M5" s="14"/>
      <c r="N5" s="14"/>
    </row>
    <row r="6" spans="1:14" x14ac:dyDescent="0.25">
      <c r="A6" s="29" t="s">
        <v>31</v>
      </c>
      <c r="B6" s="167">
        <f>(B5*100)/$G$5</f>
        <v>25.052834727643887</v>
      </c>
      <c r="C6" s="167">
        <f>(C5*100)/$G$5</f>
        <v>2.3295957009460105E-2</v>
      </c>
      <c r="D6" s="167">
        <f>(D5*100)/$G$5</f>
        <v>63.782890540482988</v>
      </c>
      <c r="E6" s="167">
        <f>(E5*100)/$G$5</f>
        <v>0.43681693131385396</v>
      </c>
      <c r="F6" s="167">
        <f>(F5*100)/$G$5</f>
        <v>10.7041618435498</v>
      </c>
      <c r="G6" s="168">
        <f t="shared" si="0"/>
        <v>99.999999999999986</v>
      </c>
      <c r="H6" s="54"/>
      <c r="I6" s="13"/>
      <c r="J6" s="14"/>
      <c r="K6" s="14"/>
      <c r="L6" s="14"/>
      <c r="M6" s="14"/>
      <c r="N6" s="14"/>
    </row>
    <row r="7" spans="1:14" x14ac:dyDescent="0.25">
      <c r="A7" s="48"/>
      <c r="B7" s="48"/>
      <c r="C7" s="48"/>
      <c r="D7" s="48"/>
      <c r="E7" s="48"/>
      <c r="F7" s="48"/>
      <c r="G7" s="48"/>
      <c r="H7" s="11"/>
      <c r="I7" s="11"/>
      <c r="J7" s="14"/>
      <c r="K7" s="14"/>
      <c r="L7" s="14"/>
      <c r="M7" s="14"/>
      <c r="N7" s="14"/>
    </row>
    <row r="8" spans="1:14" x14ac:dyDescent="0.25">
      <c r="A8" s="48"/>
      <c r="B8" s="48"/>
      <c r="C8" s="48"/>
      <c r="D8" s="48"/>
      <c r="E8" s="48"/>
      <c r="F8" s="48"/>
      <c r="G8" s="48"/>
      <c r="H8" s="11"/>
      <c r="I8" s="11"/>
      <c r="J8" s="14"/>
      <c r="K8" s="14"/>
      <c r="L8" s="14"/>
      <c r="M8" s="14"/>
      <c r="N8" s="14"/>
    </row>
    <row r="9" spans="1:14" x14ac:dyDescent="0.25">
      <c r="A9" s="48"/>
      <c r="B9" s="48"/>
      <c r="C9" s="48"/>
      <c r="D9" s="48"/>
      <c r="E9" s="48"/>
      <c r="F9" s="48"/>
      <c r="G9" s="48"/>
      <c r="H9" s="11"/>
      <c r="I9" s="11"/>
      <c r="J9" s="14"/>
      <c r="K9" s="14"/>
      <c r="L9" s="14"/>
      <c r="M9" s="14"/>
      <c r="N9" s="14"/>
    </row>
    <row r="10" spans="1:14" x14ac:dyDescent="0.25">
      <c r="A10" s="264" t="s">
        <v>34</v>
      </c>
      <c r="B10" s="264"/>
      <c r="C10" s="264"/>
      <c r="D10" s="264"/>
      <c r="E10" s="264"/>
      <c r="F10" s="264"/>
      <c r="G10" s="76"/>
      <c r="H10" s="43"/>
      <c r="I10" s="43"/>
      <c r="J10" s="14"/>
      <c r="K10" s="14"/>
      <c r="L10" s="14"/>
      <c r="M10" s="14"/>
      <c r="N10" s="14"/>
    </row>
    <row r="11" spans="1:14" x14ac:dyDescent="0.25">
      <c r="A11" s="216" t="s">
        <v>0</v>
      </c>
      <c r="B11" s="216" t="s">
        <v>165</v>
      </c>
      <c r="C11" s="216" t="s">
        <v>5</v>
      </c>
      <c r="D11" s="216" t="s">
        <v>6</v>
      </c>
      <c r="E11" s="216" t="s">
        <v>13</v>
      </c>
      <c r="F11" s="220" t="s">
        <v>11</v>
      </c>
      <c r="G11" s="173"/>
      <c r="H11" s="43"/>
      <c r="I11" s="43"/>
      <c r="J11" s="14"/>
      <c r="K11" s="14"/>
      <c r="L11" s="14"/>
      <c r="M11" s="14"/>
      <c r="N11" s="14"/>
    </row>
    <row r="12" spans="1:14" x14ac:dyDescent="0.25">
      <c r="A12" s="168">
        <f>B3</f>
        <v>5766.2669999999998</v>
      </c>
      <c r="B12" s="168">
        <f t="shared" ref="B12:F12" si="1">C3</f>
        <v>19.18</v>
      </c>
      <c r="C12" s="168">
        <f t="shared" si="1"/>
        <v>34452.6</v>
      </c>
      <c r="D12" s="168">
        <f t="shared" si="1"/>
        <v>292.61</v>
      </c>
      <c r="E12" s="168">
        <f t="shared" si="1"/>
        <v>9952.92</v>
      </c>
      <c r="F12" s="168">
        <f t="shared" si="1"/>
        <v>50483.576999999997</v>
      </c>
      <c r="G12" s="162"/>
      <c r="H12" s="43"/>
      <c r="I12" s="43"/>
      <c r="J12" s="14"/>
      <c r="K12" s="14"/>
      <c r="L12" s="14"/>
      <c r="M12" s="14"/>
      <c r="N12" s="14"/>
    </row>
    <row r="13" spans="1:14" x14ac:dyDescent="0.25">
      <c r="A13" s="48"/>
      <c r="B13" s="48"/>
      <c r="C13" s="48"/>
      <c r="D13" s="48"/>
      <c r="E13" s="48"/>
      <c r="F13" s="48"/>
      <c r="G13" s="7"/>
      <c r="H13" s="43"/>
      <c r="I13" s="43"/>
      <c r="J13" s="14"/>
      <c r="K13" s="14"/>
      <c r="L13" s="14"/>
      <c r="M13" s="14"/>
      <c r="N13" s="14"/>
    </row>
    <row r="14" spans="1:14" x14ac:dyDescent="0.25">
      <c r="A14" s="264" t="s">
        <v>35</v>
      </c>
      <c r="B14" s="264"/>
      <c r="C14" s="264"/>
      <c r="D14" s="264"/>
      <c r="E14" s="264"/>
      <c r="F14" s="264"/>
      <c r="G14" s="76"/>
      <c r="H14" s="43"/>
      <c r="I14" s="43"/>
      <c r="J14" s="14"/>
      <c r="K14" s="14"/>
      <c r="L14" s="14"/>
      <c r="M14" s="14"/>
      <c r="N14" s="14"/>
    </row>
    <row r="15" spans="1:14" x14ac:dyDescent="0.25">
      <c r="A15" s="216" t="s">
        <v>0</v>
      </c>
      <c r="B15" s="216" t="s">
        <v>165</v>
      </c>
      <c r="C15" s="216" t="s">
        <v>5</v>
      </c>
      <c r="D15" s="216" t="s">
        <v>6</v>
      </c>
      <c r="E15" s="216" t="s">
        <v>13</v>
      </c>
      <c r="F15" s="220" t="s">
        <v>11</v>
      </c>
      <c r="G15" s="173"/>
      <c r="H15" s="43"/>
      <c r="I15" s="43"/>
      <c r="J15" s="14"/>
      <c r="K15" s="14"/>
      <c r="L15" s="14"/>
      <c r="M15" s="14"/>
      <c r="N15" s="14"/>
    </row>
    <row r="16" spans="1:14" x14ac:dyDescent="0.25">
      <c r="A16" s="167">
        <f>B4</f>
        <v>11.422065041072663</v>
      </c>
      <c r="B16" s="88">
        <f t="shared" ref="B16:F16" si="2">C4</f>
        <v>3.799255349913102E-2</v>
      </c>
      <c r="C16" s="167">
        <f t="shared" si="2"/>
        <v>68.245164164971911</v>
      </c>
      <c r="D16" s="167">
        <f t="shared" si="2"/>
        <v>0.57961423771536635</v>
      </c>
      <c r="E16" s="167">
        <f t="shared" si="2"/>
        <v>19.715164002740931</v>
      </c>
      <c r="F16" s="167">
        <f t="shared" si="2"/>
        <v>100</v>
      </c>
      <c r="G16" s="169"/>
      <c r="H16" s="43"/>
      <c r="I16" s="43"/>
      <c r="J16" s="14"/>
      <c r="K16" s="14"/>
      <c r="L16" s="14"/>
      <c r="M16" s="14"/>
      <c r="N16" s="14"/>
    </row>
    <row r="17" spans="1:14" x14ac:dyDescent="0.25">
      <c r="A17" s="48"/>
      <c r="B17" s="48"/>
      <c r="C17" s="48"/>
      <c r="D17" s="48"/>
      <c r="E17" s="48"/>
      <c r="F17" s="48"/>
      <c r="G17" s="7"/>
      <c r="H17" s="43"/>
      <c r="I17" s="43"/>
      <c r="J17" s="14"/>
      <c r="K17" s="14"/>
      <c r="L17" s="14"/>
      <c r="M17" s="14"/>
      <c r="N17" s="14"/>
    </row>
    <row r="18" spans="1:14" x14ac:dyDescent="0.25">
      <c r="A18" s="264" t="s">
        <v>76</v>
      </c>
      <c r="B18" s="264"/>
      <c r="C18" s="264"/>
      <c r="D18" s="264"/>
      <c r="E18" s="264"/>
      <c r="F18" s="264"/>
      <c r="G18" s="76"/>
      <c r="H18" s="43"/>
      <c r="I18" s="43"/>
      <c r="J18" s="14"/>
      <c r="K18" s="14"/>
      <c r="L18" s="14"/>
      <c r="M18" s="14"/>
      <c r="N18" s="14"/>
    </row>
    <row r="19" spans="1:14" x14ac:dyDescent="0.25">
      <c r="A19" s="216" t="s">
        <v>0</v>
      </c>
      <c r="B19" s="216" t="s">
        <v>165</v>
      </c>
      <c r="C19" s="216" t="s">
        <v>5</v>
      </c>
      <c r="D19" s="216" t="s">
        <v>6</v>
      </c>
      <c r="E19" s="216" t="s">
        <v>13</v>
      </c>
      <c r="F19" s="220" t="s">
        <v>11</v>
      </c>
      <c r="G19" s="174"/>
      <c r="H19" s="43"/>
      <c r="I19" s="43"/>
      <c r="J19" s="14"/>
      <c r="K19" s="14"/>
      <c r="L19" s="14"/>
      <c r="M19" s="14"/>
      <c r="N19" s="14"/>
    </row>
    <row r="20" spans="1:14" x14ac:dyDescent="0.25">
      <c r="A20" s="167">
        <f>B5</f>
        <v>4682.2088039999999</v>
      </c>
      <c r="B20" s="167">
        <f t="shared" ref="B20:F20" si="3">C5</f>
        <v>4.3538600000000001</v>
      </c>
      <c r="C20" s="167">
        <f t="shared" si="3"/>
        <v>11920.599599999998</v>
      </c>
      <c r="D20" s="167">
        <f t="shared" si="3"/>
        <v>81.638190000000009</v>
      </c>
      <c r="E20" s="167">
        <f t="shared" si="3"/>
        <v>2000.5369200000002</v>
      </c>
      <c r="F20" s="167">
        <f t="shared" si="3"/>
        <v>18689.337373999999</v>
      </c>
      <c r="G20" s="175"/>
      <c r="H20" s="43"/>
      <c r="I20" s="43"/>
      <c r="J20" s="14"/>
      <c r="K20" s="14"/>
      <c r="L20" s="14"/>
      <c r="M20" s="14"/>
      <c r="N20" s="14"/>
    </row>
    <row r="21" spans="1:14" x14ac:dyDescent="0.25">
      <c r="A21" s="48"/>
      <c r="B21" s="48"/>
      <c r="C21" s="48"/>
      <c r="D21" s="48"/>
      <c r="E21" s="48"/>
      <c r="F21" s="48"/>
      <c r="G21" s="166"/>
      <c r="H21" s="43"/>
      <c r="I21" s="43"/>
      <c r="J21" s="14"/>
      <c r="K21" s="14"/>
      <c r="L21" s="14"/>
      <c r="M21" s="14"/>
      <c r="N21" s="14"/>
    </row>
    <row r="22" spans="1:14" x14ac:dyDescent="0.25">
      <c r="A22" s="264" t="s">
        <v>77</v>
      </c>
      <c r="B22" s="264"/>
      <c r="C22" s="264"/>
      <c r="D22" s="264"/>
      <c r="E22" s="264"/>
      <c r="F22" s="264"/>
      <c r="G22" s="76"/>
      <c r="H22" s="43"/>
      <c r="I22" s="43"/>
      <c r="J22" s="14"/>
      <c r="K22" s="14"/>
      <c r="L22" s="14"/>
      <c r="M22" s="14"/>
      <c r="N22" s="14"/>
    </row>
    <row r="23" spans="1:14" x14ac:dyDescent="0.25">
      <c r="A23" s="216" t="s">
        <v>0</v>
      </c>
      <c r="B23" s="216" t="s">
        <v>165</v>
      </c>
      <c r="C23" s="216" t="s">
        <v>5</v>
      </c>
      <c r="D23" s="216" t="s">
        <v>6</v>
      </c>
      <c r="E23" s="216" t="s">
        <v>13</v>
      </c>
      <c r="F23" s="220" t="s">
        <v>11</v>
      </c>
      <c r="G23" s="174"/>
      <c r="H23" s="43"/>
      <c r="I23" s="43"/>
      <c r="J23" s="14"/>
      <c r="K23" s="14"/>
      <c r="L23" s="14"/>
      <c r="M23" s="14"/>
      <c r="N23" s="14"/>
    </row>
    <row r="24" spans="1:14" x14ac:dyDescent="0.25">
      <c r="A24" s="167">
        <f t="shared" ref="A24" si="4">B6</f>
        <v>25.052834727643887</v>
      </c>
      <c r="B24" s="88">
        <f t="shared" ref="B24" si="5">C6</f>
        <v>2.3295957009460105E-2</v>
      </c>
      <c r="C24" s="167">
        <f t="shared" ref="C24" si="6">D6</f>
        <v>63.782890540482988</v>
      </c>
      <c r="D24" s="167">
        <f t="shared" ref="D24" si="7">E6</f>
        <v>0.43681693131385396</v>
      </c>
      <c r="E24" s="167">
        <f t="shared" ref="E24" si="8">F6</f>
        <v>10.7041618435498</v>
      </c>
      <c r="F24" s="167">
        <f t="shared" ref="F24" si="9">G6</f>
        <v>99.999999999999986</v>
      </c>
      <c r="G24" s="58"/>
      <c r="H24" s="43"/>
      <c r="I24" s="43"/>
      <c r="J24" s="14"/>
      <c r="K24" s="14"/>
      <c r="L24" s="14"/>
      <c r="M24" s="14"/>
      <c r="N24" s="14"/>
    </row>
    <row r="25" spans="1:14" x14ac:dyDescent="0.25">
      <c r="A25" s="48"/>
      <c r="B25" s="48"/>
      <c r="C25" s="48"/>
      <c r="D25" s="48"/>
      <c r="E25" s="48"/>
      <c r="F25" s="48"/>
      <c r="G25" s="48"/>
      <c r="H25" s="43"/>
      <c r="I25" s="43"/>
      <c r="J25" s="14"/>
      <c r="K25" s="14"/>
      <c r="L25" s="14"/>
      <c r="M25" s="14"/>
      <c r="N25" s="14"/>
    </row>
  </sheetData>
  <mergeCells count="5">
    <mergeCell ref="A22:F22"/>
    <mergeCell ref="A18:F18"/>
    <mergeCell ref="A14:F14"/>
    <mergeCell ref="A10:F10"/>
    <mergeCell ref="A1:G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2" sqref="A22:E24"/>
    </sheetView>
  </sheetViews>
  <sheetFormatPr defaultRowHeight="15" x14ac:dyDescent="0.25"/>
  <cols>
    <col min="1" max="2" width="18.7109375" bestFit="1" customWidth="1"/>
    <col min="3" max="3" width="14" customWidth="1"/>
    <col min="4" max="4" width="14.42578125" customWidth="1"/>
    <col min="5" max="5" width="18" customWidth="1"/>
    <col min="6" max="6" width="12.5703125" bestFit="1" customWidth="1"/>
    <col min="7" max="7" width="16" customWidth="1"/>
    <col min="8" max="8" width="13.5703125" bestFit="1" customWidth="1"/>
    <col min="9" max="9" width="10.28515625" bestFit="1" customWidth="1"/>
  </cols>
  <sheetData>
    <row r="1" spans="1:9" x14ac:dyDescent="0.25">
      <c r="A1" s="249" t="s">
        <v>27</v>
      </c>
      <c r="B1" s="249"/>
      <c r="C1" s="249"/>
      <c r="D1" s="249"/>
      <c r="E1" s="249"/>
      <c r="F1" s="249"/>
      <c r="G1" s="249"/>
      <c r="H1" s="15"/>
      <c r="I1" s="15"/>
    </row>
    <row r="2" spans="1:9" x14ac:dyDescent="0.25">
      <c r="A2" s="220"/>
      <c r="B2" s="216" t="s">
        <v>0</v>
      </c>
      <c r="C2" s="216" t="s">
        <v>165</v>
      </c>
      <c r="D2" s="216" t="s">
        <v>5</v>
      </c>
      <c r="E2" s="216" t="s">
        <v>6</v>
      </c>
      <c r="F2" s="216" t="s">
        <v>13</v>
      </c>
      <c r="G2" s="220" t="s">
        <v>11</v>
      </c>
      <c r="H2" s="166"/>
      <c r="I2" s="13"/>
    </row>
    <row r="3" spans="1:9" x14ac:dyDescent="0.25">
      <c r="A3" s="167" t="s">
        <v>28</v>
      </c>
      <c r="B3" s="168">
        <f>'zużycie całkowite i emisja'!B23</f>
        <v>3617.0610000000001</v>
      </c>
      <c r="C3" s="168">
        <f>'zużycie całkowite i emisja'!C23</f>
        <v>6.7700000000000005</v>
      </c>
      <c r="D3" s="168">
        <f>'zużycie całkowite i emisja'!D23</f>
        <v>12105.1</v>
      </c>
      <c r="E3" s="168">
        <f>'zużycie całkowite i emisja'!E23</f>
        <v>0</v>
      </c>
      <c r="F3" s="168">
        <f>'zużycie całkowite i emisja'!F23</f>
        <v>3423.36</v>
      </c>
      <c r="G3" s="168">
        <f>SUM(B3:F3)</f>
        <v>19152.291000000001</v>
      </c>
      <c r="H3" s="166"/>
      <c r="I3" s="13"/>
    </row>
    <row r="4" spans="1:9" x14ac:dyDescent="0.25">
      <c r="A4" s="167" t="s">
        <v>29</v>
      </c>
      <c r="B4" s="167">
        <f>(B3/$G$3)*100</f>
        <v>18.885787606297335</v>
      </c>
      <c r="C4" s="167">
        <f t="shared" ref="C4:F4" si="0">(C3/$G$3)*100</f>
        <v>3.5348251548600634E-2</v>
      </c>
      <c r="D4" s="167">
        <f t="shared" si="0"/>
        <v>63.204449013436559</v>
      </c>
      <c r="E4" s="167">
        <f t="shared" si="0"/>
        <v>0</v>
      </c>
      <c r="F4" s="167">
        <f t="shared" si="0"/>
        <v>17.874415128717498</v>
      </c>
      <c r="G4" s="168">
        <f t="shared" ref="G4:G6" si="1">SUM(B4:F4)</f>
        <v>100</v>
      </c>
      <c r="H4" s="166"/>
      <c r="I4" s="13"/>
    </row>
    <row r="5" spans="1:9" x14ac:dyDescent="0.25">
      <c r="A5" s="167" t="s">
        <v>30</v>
      </c>
      <c r="B5" s="168">
        <f>'zużycie całkowite i emisja'!B52</f>
        <v>2937.0535320000004</v>
      </c>
      <c r="C5" s="168">
        <f>'zużycie całkowite i emisja'!C52</f>
        <v>1.5367900000000001</v>
      </c>
      <c r="D5" s="168">
        <f>'zużycie całkowite i emisja'!D52</f>
        <v>4188.3645999999999</v>
      </c>
      <c r="E5" s="168">
        <f>'zużycie całkowite i emisja'!E52</f>
        <v>0</v>
      </c>
      <c r="F5" s="168">
        <f>'zużycie całkowite i emisja'!F52</f>
        <v>688.09536000000003</v>
      </c>
      <c r="G5" s="168">
        <f>SUM(B5:F5)</f>
        <v>7815.0502820000011</v>
      </c>
      <c r="H5" s="166"/>
      <c r="I5" s="13"/>
    </row>
    <row r="6" spans="1:9" x14ac:dyDescent="0.25">
      <c r="A6" s="29" t="s">
        <v>31</v>
      </c>
      <c r="B6" s="167">
        <f>(B5/$G$5)*100</f>
        <v>37.582017082663725</v>
      </c>
      <c r="C6" s="167">
        <f t="shared" ref="C6:F6" si="2">(C5/$G$5)*100</f>
        <v>1.9664492799740634E-2</v>
      </c>
      <c r="D6" s="167">
        <f t="shared" si="2"/>
        <v>53.593572003584441</v>
      </c>
      <c r="E6" s="167">
        <f t="shared" si="2"/>
        <v>0</v>
      </c>
      <c r="F6" s="167">
        <f t="shared" si="2"/>
        <v>8.8047464209520747</v>
      </c>
      <c r="G6" s="168">
        <f t="shared" si="1"/>
        <v>99.999999999999986</v>
      </c>
      <c r="H6" s="165"/>
      <c r="I6" s="54"/>
    </row>
    <row r="7" spans="1:9" x14ac:dyDescent="0.25">
      <c r="A7" s="51"/>
      <c r="B7" s="51"/>
      <c r="C7" s="51"/>
      <c r="D7" s="51"/>
      <c r="E7" s="51"/>
      <c r="F7" s="51"/>
      <c r="G7" s="51"/>
      <c r="H7" s="43"/>
      <c r="I7" s="43"/>
    </row>
    <row r="8" spans="1:9" x14ac:dyDescent="0.25">
      <c r="A8" s="51"/>
      <c r="B8" s="51"/>
      <c r="C8" s="51"/>
      <c r="D8" s="51"/>
      <c r="E8" s="51"/>
      <c r="F8" s="51"/>
      <c r="G8" s="51"/>
      <c r="H8" s="43"/>
      <c r="I8" s="43"/>
    </row>
    <row r="9" spans="1:9" x14ac:dyDescent="0.25">
      <c r="A9" s="51"/>
      <c r="B9" s="51"/>
      <c r="C9" s="51"/>
      <c r="D9" s="51"/>
      <c r="E9" s="51"/>
      <c r="F9" s="51"/>
      <c r="G9" s="51"/>
      <c r="H9" s="43"/>
      <c r="I9" s="43"/>
    </row>
    <row r="10" spans="1:9" x14ac:dyDescent="0.25">
      <c r="A10" s="261" t="s">
        <v>36</v>
      </c>
      <c r="B10" s="262"/>
      <c r="C10" s="262"/>
      <c r="D10" s="262"/>
      <c r="E10" s="263"/>
      <c r="F10" s="76"/>
      <c r="G10" s="76"/>
      <c r="H10" s="43"/>
      <c r="I10" s="43"/>
    </row>
    <row r="11" spans="1:9" x14ac:dyDescent="0.25">
      <c r="A11" s="216" t="s">
        <v>0</v>
      </c>
      <c r="B11" s="216" t="s">
        <v>165</v>
      </c>
      <c r="C11" s="216" t="s">
        <v>5</v>
      </c>
      <c r="D11" s="216" t="s">
        <v>13</v>
      </c>
      <c r="E11" s="220" t="s">
        <v>11</v>
      </c>
      <c r="F11" s="165"/>
      <c r="G11" s="165"/>
      <c r="H11" s="43"/>
      <c r="I11" s="43"/>
    </row>
    <row r="12" spans="1:9" x14ac:dyDescent="0.25">
      <c r="A12" s="168">
        <f>B3</f>
        <v>3617.0610000000001</v>
      </c>
      <c r="B12" s="168">
        <f t="shared" ref="B12:C12" si="3">C3</f>
        <v>6.7700000000000005</v>
      </c>
      <c r="C12" s="168">
        <f t="shared" si="3"/>
        <v>12105.1</v>
      </c>
      <c r="D12" s="168">
        <f>F3</f>
        <v>3423.36</v>
      </c>
      <c r="E12" s="168">
        <f>G3</f>
        <v>19152.291000000001</v>
      </c>
      <c r="F12" s="165"/>
      <c r="G12" s="165"/>
      <c r="H12" s="43"/>
      <c r="I12" s="43"/>
    </row>
    <row r="13" spans="1:9" x14ac:dyDescent="0.25">
      <c r="A13" s="48"/>
      <c r="B13" s="48"/>
      <c r="C13" s="48"/>
      <c r="D13" s="48"/>
      <c r="E13" s="48"/>
      <c r="F13" s="48"/>
      <c r="G13" s="51"/>
      <c r="H13" s="43"/>
      <c r="I13" s="43"/>
    </row>
    <row r="14" spans="1:9" x14ac:dyDescent="0.25">
      <c r="A14" s="261" t="s">
        <v>37</v>
      </c>
      <c r="B14" s="262"/>
      <c r="C14" s="262"/>
      <c r="D14" s="262"/>
      <c r="E14" s="263"/>
      <c r="F14" s="76"/>
      <c r="G14" s="76"/>
      <c r="H14" s="43"/>
      <c r="I14" s="43"/>
    </row>
    <row r="15" spans="1:9" x14ac:dyDescent="0.25">
      <c r="A15" s="216" t="s">
        <v>0</v>
      </c>
      <c r="B15" s="216" t="s">
        <v>165</v>
      </c>
      <c r="C15" s="216" t="s">
        <v>5</v>
      </c>
      <c r="D15" s="216" t="s">
        <v>13</v>
      </c>
      <c r="E15" s="220" t="s">
        <v>11</v>
      </c>
      <c r="F15" s="165"/>
      <c r="G15" s="165"/>
      <c r="H15" s="43"/>
      <c r="I15" s="43"/>
    </row>
    <row r="16" spans="1:9" x14ac:dyDescent="0.25">
      <c r="A16" s="167">
        <f>B4</f>
        <v>18.885787606297335</v>
      </c>
      <c r="B16" s="88">
        <f t="shared" ref="B16:C16" si="4">C4</f>
        <v>3.5348251548600634E-2</v>
      </c>
      <c r="C16" s="167">
        <f t="shared" si="4"/>
        <v>63.204449013436559</v>
      </c>
      <c r="D16" s="167">
        <f>F4</f>
        <v>17.874415128717498</v>
      </c>
      <c r="E16" s="167">
        <f>G4</f>
        <v>100</v>
      </c>
      <c r="F16" s="165"/>
      <c r="G16" s="165"/>
      <c r="H16" s="43"/>
      <c r="I16" s="43"/>
    </row>
    <row r="17" spans="1:9" x14ac:dyDescent="0.25">
      <c r="A17" s="48"/>
      <c r="B17" s="48"/>
      <c r="C17" s="48"/>
      <c r="D17" s="48"/>
      <c r="E17" s="48"/>
      <c r="F17" s="48"/>
      <c r="G17" s="51"/>
      <c r="H17" s="43"/>
      <c r="I17" s="43"/>
    </row>
    <row r="18" spans="1:9" x14ac:dyDescent="0.25">
      <c r="A18" s="261" t="s">
        <v>78</v>
      </c>
      <c r="B18" s="262"/>
      <c r="C18" s="262"/>
      <c r="D18" s="262"/>
      <c r="E18" s="263"/>
      <c r="F18" s="76"/>
      <c r="G18" s="76"/>
      <c r="H18" s="43"/>
      <c r="I18" s="43"/>
    </row>
    <row r="19" spans="1:9" x14ac:dyDescent="0.25">
      <c r="A19" s="216" t="s">
        <v>0</v>
      </c>
      <c r="B19" s="216" t="s">
        <v>165</v>
      </c>
      <c r="C19" s="216" t="s">
        <v>5</v>
      </c>
      <c r="D19" s="216" t="s">
        <v>13</v>
      </c>
      <c r="E19" s="220" t="s">
        <v>11</v>
      </c>
      <c r="F19" s="165"/>
      <c r="G19" s="165"/>
      <c r="H19" s="43"/>
      <c r="I19" s="43"/>
    </row>
    <row r="20" spans="1:9" x14ac:dyDescent="0.25">
      <c r="A20" s="168">
        <f>B5</f>
        <v>2937.0535320000004</v>
      </c>
      <c r="B20" s="168">
        <f t="shared" ref="B20:C20" si="5">C5</f>
        <v>1.5367900000000001</v>
      </c>
      <c r="C20" s="168">
        <f t="shared" si="5"/>
        <v>4188.3645999999999</v>
      </c>
      <c r="D20" s="168">
        <f>F5</f>
        <v>688.09536000000003</v>
      </c>
      <c r="E20" s="168">
        <f>G5</f>
        <v>7815.0502820000011</v>
      </c>
      <c r="F20" s="165"/>
      <c r="G20" s="165"/>
      <c r="H20" s="43"/>
      <c r="I20" s="43"/>
    </row>
    <row r="21" spans="1:9" x14ac:dyDescent="0.25">
      <c r="A21" s="48"/>
      <c r="B21" s="48"/>
      <c r="C21" s="48"/>
      <c r="D21" s="48"/>
      <c r="E21" s="48"/>
      <c r="F21" s="48"/>
      <c r="G21" s="43"/>
      <c r="H21" s="43"/>
      <c r="I21" s="43"/>
    </row>
    <row r="22" spans="1:9" x14ac:dyDescent="0.25">
      <c r="A22" s="261" t="s">
        <v>79</v>
      </c>
      <c r="B22" s="262"/>
      <c r="C22" s="262"/>
      <c r="D22" s="262"/>
      <c r="E22" s="263"/>
      <c r="F22" s="76"/>
      <c r="G22" s="76"/>
      <c r="H22" s="43"/>
      <c r="I22" s="43"/>
    </row>
    <row r="23" spans="1:9" x14ac:dyDescent="0.25">
      <c r="A23" s="216" t="s">
        <v>0</v>
      </c>
      <c r="B23" s="216" t="s">
        <v>165</v>
      </c>
      <c r="C23" s="216" t="s">
        <v>5</v>
      </c>
      <c r="D23" s="216" t="s">
        <v>13</v>
      </c>
      <c r="E23" s="220" t="s">
        <v>11</v>
      </c>
      <c r="F23" s="165"/>
      <c r="G23" s="165"/>
      <c r="H23" s="43"/>
      <c r="I23" s="43"/>
    </row>
    <row r="24" spans="1:9" x14ac:dyDescent="0.25">
      <c r="A24" s="167">
        <f>B6</f>
        <v>37.582017082663725</v>
      </c>
      <c r="B24" s="88">
        <f t="shared" ref="B24:C24" si="6">C6</f>
        <v>1.9664492799740634E-2</v>
      </c>
      <c r="C24" s="167">
        <f t="shared" si="6"/>
        <v>53.593572003584441</v>
      </c>
      <c r="D24" s="167">
        <f>F6</f>
        <v>8.8047464209520747</v>
      </c>
      <c r="E24" s="167">
        <f>G6</f>
        <v>99.999999999999986</v>
      </c>
      <c r="F24" s="165"/>
      <c r="G24" s="165"/>
      <c r="H24" s="43"/>
      <c r="I24" s="43"/>
    </row>
  </sheetData>
  <mergeCells count="5">
    <mergeCell ref="A1:G1"/>
    <mergeCell ref="A22:E22"/>
    <mergeCell ref="A18:E18"/>
    <mergeCell ref="A14:E14"/>
    <mergeCell ref="A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28" sqref="D28"/>
    </sheetView>
  </sheetViews>
  <sheetFormatPr defaultRowHeight="15" x14ac:dyDescent="0.25"/>
  <cols>
    <col min="1" max="2" width="18.7109375" style="163" bestFit="1" customWidth="1"/>
    <col min="3" max="3" width="14" style="163" customWidth="1"/>
    <col min="4" max="4" width="14.42578125" style="163" customWidth="1"/>
    <col min="5" max="5" width="18" style="163" customWidth="1"/>
    <col min="6" max="6" width="12.5703125" style="163" bestFit="1" customWidth="1"/>
    <col min="7" max="7" width="16" style="163" customWidth="1"/>
    <col min="8" max="8" width="13.5703125" style="163" bestFit="1" customWidth="1"/>
    <col min="9" max="9" width="10.28515625" style="163" bestFit="1" customWidth="1"/>
    <col min="10" max="16384" width="9.140625" style="163"/>
  </cols>
  <sheetData>
    <row r="1" spans="1:9" x14ac:dyDescent="0.25">
      <c r="A1" s="249" t="s">
        <v>27</v>
      </c>
      <c r="B1" s="249"/>
      <c r="C1" s="249"/>
      <c r="D1" s="249"/>
      <c r="E1" s="249"/>
      <c r="F1" s="249"/>
      <c r="G1" s="249"/>
      <c r="H1" s="15"/>
      <c r="I1" s="15"/>
    </row>
    <row r="2" spans="1:9" x14ac:dyDescent="0.25">
      <c r="A2" s="220"/>
      <c r="B2" s="216" t="s">
        <v>0</v>
      </c>
      <c r="C2" s="216" t="s">
        <v>165</v>
      </c>
      <c r="D2" s="216" t="s">
        <v>5</v>
      </c>
      <c r="E2" s="216" t="s">
        <v>6</v>
      </c>
      <c r="F2" s="216" t="s">
        <v>13</v>
      </c>
      <c r="G2" s="220" t="s">
        <v>11</v>
      </c>
      <c r="H2" s="166"/>
      <c r="I2" s="166"/>
    </row>
    <row r="3" spans="1:9" x14ac:dyDescent="0.25">
      <c r="A3" s="167" t="s">
        <v>28</v>
      </c>
      <c r="B3" s="168">
        <f>'zużycie całkowite i emisja'!B26</f>
        <v>19387.494999999999</v>
      </c>
      <c r="C3" s="168">
        <f>'zużycie całkowite i emisja'!C26</f>
        <v>0</v>
      </c>
      <c r="D3" s="168">
        <f>'zużycie całkowite i emisja'!D26</f>
        <v>0</v>
      </c>
      <c r="E3" s="168">
        <f>'zużycie całkowite i emisja'!E26</f>
        <v>0</v>
      </c>
      <c r="F3" s="168">
        <f>'zużycie całkowite i emisja'!F26</f>
        <v>0</v>
      </c>
      <c r="G3" s="168">
        <f>SUM(B3:F3)</f>
        <v>19387.494999999999</v>
      </c>
      <c r="H3" s="166"/>
      <c r="I3" s="166"/>
    </row>
    <row r="4" spans="1:9" x14ac:dyDescent="0.25">
      <c r="A4" s="167" t="s">
        <v>29</v>
      </c>
      <c r="B4" s="167">
        <f>(B3/$G$3)*100</f>
        <v>100</v>
      </c>
      <c r="C4" s="167">
        <f t="shared" ref="C4:F4" si="0">(C3/$G$3)*100</f>
        <v>0</v>
      </c>
      <c r="D4" s="167">
        <f t="shared" si="0"/>
        <v>0</v>
      </c>
      <c r="E4" s="167">
        <f t="shared" si="0"/>
        <v>0</v>
      </c>
      <c r="F4" s="167">
        <f t="shared" si="0"/>
        <v>0</v>
      </c>
      <c r="G4" s="168">
        <f t="shared" ref="G4:G6" si="1">SUM(B4:F4)</f>
        <v>100</v>
      </c>
      <c r="H4" s="166"/>
      <c r="I4" s="166"/>
    </row>
    <row r="5" spans="1:9" x14ac:dyDescent="0.25">
      <c r="A5" s="167" t="s">
        <v>30</v>
      </c>
      <c r="B5" s="168">
        <f>'zużycie całkowite i emisja'!B55</f>
        <v>15742.64594</v>
      </c>
      <c r="C5" s="168">
        <f>'zużycie całkowite i emisja'!C55</f>
        <v>0</v>
      </c>
      <c r="D5" s="168">
        <f>'zużycie całkowite i emisja'!D55</f>
        <v>0</v>
      </c>
      <c r="E5" s="168">
        <f>'zużycie całkowite i emisja'!E55</f>
        <v>0</v>
      </c>
      <c r="F5" s="168">
        <f>'zużycie całkowite i emisja'!F55</f>
        <v>0</v>
      </c>
      <c r="G5" s="168">
        <f>SUM(B5:F5)</f>
        <v>15742.64594</v>
      </c>
      <c r="H5" s="166"/>
      <c r="I5" s="166"/>
    </row>
    <row r="6" spans="1:9" x14ac:dyDescent="0.25">
      <c r="A6" s="29" t="s">
        <v>31</v>
      </c>
      <c r="B6" s="167">
        <f>(B5/$G$5)*100</f>
        <v>100</v>
      </c>
      <c r="C6" s="167">
        <f t="shared" ref="C6:F6" si="2">(C5/$G$5)*100</f>
        <v>0</v>
      </c>
      <c r="D6" s="167">
        <f t="shared" si="2"/>
        <v>0</v>
      </c>
      <c r="E6" s="167">
        <f t="shared" si="2"/>
        <v>0</v>
      </c>
      <c r="F6" s="167">
        <f t="shared" si="2"/>
        <v>0</v>
      </c>
      <c r="G6" s="168">
        <f t="shared" si="1"/>
        <v>100</v>
      </c>
      <c r="H6" s="165"/>
      <c r="I6" s="165"/>
    </row>
    <row r="7" spans="1:9" x14ac:dyDescent="0.25">
      <c r="A7" s="51"/>
      <c r="B7" s="51"/>
      <c r="C7" s="51"/>
      <c r="D7" s="51"/>
      <c r="E7" s="51"/>
      <c r="F7" s="51"/>
      <c r="G7" s="51"/>
      <c r="H7" s="43"/>
      <c r="I7" s="43"/>
    </row>
    <row r="8" spans="1:9" x14ac:dyDescent="0.25">
      <c r="A8" s="51"/>
      <c r="B8" s="51"/>
      <c r="C8" s="51"/>
      <c r="D8" s="51"/>
      <c r="E8" s="51"/>
      <c r="F8" s="51"/>
      <c r="G8" s="51"/>
      <c r="H8" s="43"/>
      <c r="I8" s="43"/>
    </row>
    <row r="9" spans="1:9" x14ac:dyDescent="0.25">
      <c r="A9" s="51"/>
      <c r="B9" s="51"/>
      <c r="C9" s="51"/>
      <c r="D9" s="51"/>
      <c r="E9" s="51"/>
      <c r="F9" s="51"/>
      <c r="G9" s="51"/>
      <c r="H9" s="43"/>
      <c r="I9" s="43"/>
    </row>
    <row r="10" spans="1:9" x14ac:dyDescent="0.25">
      <c r="A10" s="264" t="s">
        <v>36</v>
      </c>
      <c r="B10" s="264"/>
      <c r="C10" s="76"/>
      <c r="D10" s="76"/>
      <c r="E10" s="76"/>
      <c r="F10" s="76"/>
      <c r="G10" s="76"/>
      <c r="H10" s="43"/>
      <c r="I10" s="43"/>
    </row>
    <row r="11" spans="1:9" x14ac:dyDescent="0.25">
      <c r="A11" s="216" t="s">
        <v>0</v>
      </c>
      <c r="B11" s="220" t="s">
        <v>11</v>
      </c>
      <c r="C11" s="75"/>
      <c r="D11" s="75"/>
      <c r="E11" s="166"/>
      <c r="F11" s="165"/>
      <c r="G11" s="165"/>
      <c r="H11" s="43"/>
      <c r="I11" s="43"/>
    </row>
    <row r="12" spans="1:9" x14ac:dyDescent="0.25">
      <c r="A12" s="168">
        <f>B3</f>
        <v>19387.494999999999</v>
      </c>
      <c r="B12" s="168">
        <f>G3</f>
        <v>19387.494999999999</v>
      </c>
      <c r="C12" s="162"/>
      <c r="D12" s="162"/>
      <c r="E12" s="166"/>
      <c r="F12" s="165"/>
      <c r="G12" s="165"/>
      <c r="H12" s="43"/>
      <c r="I12" s="43"/>
    </row>
    <row r="13" spans="1:9" x14ac:dyDescent="0.25">
      <c r="A13" s="48"/>
      <c r="B13" s="48"/>
      <c r="C13" s="7"/>
      <c r="D13" s="7"/>
      <c r="E13" s="7"/>
      <c r="F13" s="48"/>
      <c r="G13" s="51"/>
      <c r="H13" s="43"/>
      <c r="I13" s="43"/>
    </row>
    <row r="14" spans="1:9" x14ac:dyDescent="0.25">
      <c r="A14" s="264" t="s">
        <v>37</v>
      </c>
      <c r="B14" s="264"/>
      <c r="C14" s="76"/>
      <c r="D14" s="76"/>
      <c r="E14" s="76"/>
      <c r="F14" s="76"/>
      <c r="G14" s="76"/>
      <c r="H14" s="43"/>
      <c r="I14" s="43"/>
    </row>
    <row r="15" spans="1:9" x14ac:dyDescent="0.25">
      <c r="A15" s="216" t="s">
        <v>0</v>
      </c>
      <c r="B15" s="220" t="s">
        <v>11</v>
      </c>
      <c r="C15" s="75"/>
      <c r="D15" s="75"/>
      <c r="E15" s="166"/>
      <c r="F15" s="165"/>
      <c r="G15" s="165"/>
      <c r="H15" s="43"/>
      <c r="I15" s="43"/>
    </row>
    <row r="16" spans="1:9" x14ac:dyDescent="0.25">
      <c r="A16" s="167">
        <f>B4</f>
        <v>100</v>
      </c>
      <c r="B16" s="167">
        <f>G4</f>
        <v>100</v>
      </c>
      <c r="C16" s="169"/>
      <c r="D16" s="169"/>
      <c r="E16" s="166"/>
      <c r="F16" s="165"/>
      <c r="G16" s="165"/>
      <c r="H16" s="43"/>
      <c r="I16" s="43"/>
    </row>
    <row r="17" spans="1:9" x14ac:dyDescent="0.25">
      <c r="A17" s="48"/>
      <c r="B17" s="48"/>
      <c r="C17" s="7"/>
      <c r="D17" s="7"/>
      <c r="E17" s="7"/>
      <c r="F17" s="48"/>
      <c r="G17" s="51"/>
      <c r="H17" s="43"/>
      <c r="I17" s="43"/>
    </row>
    <row r="18" spans="1:9" x14ac:dyDescent="0.25">
      <c r="A18" s="264" t="s">
        <v>78</v>
      </c>
      <c r="B18" s="264"/>
      <c r="C18" s="76"/>
      <c r="D18" s="76"/>
      <c r="E18" s="76"/>
      <c r="F18" s="76"/>
      <c r="G18" s="76"/>
      <c r="H18" s="43"/>
      <c r="I18" s="43"/>
    </row>
    <row r="19" spans="1:9" x14ac:dyDescent="0.25">
      <c r="A19" s="216" t="s">
        <v>0</v>
      </c>
      <c r="B19" s="220" t="s">
        <v>11</v>
      </c>
      <c r="C19" s="75"/>
      <c r="D19" s="75"/>
      <c r="E19" s="166"/>
      <c r="F19" s="165"/>
      <c r="G19" s="165"/>
      <c r="H19" s="43"/>
      <c r="I19" s="43"/>
    </row>
    <row r="20" spans="1:9" x14ac:dyDescent="0.25">
      <c r="A20" s="168">
        <f>B5</f>
        <v>15742.64594</v>
      </c>
      <c r="B20" s="168">
        <f>G5</f>
        <v>15742.64594</v>
      </c>
      <c r="C20" s="162"/>
      <c r="D20" s="162"/>
      <c r="E20" s="166"/>
      <c r="F20" s="165"/>
      <c r="G20" s="165"/>
      <c r="H20" s="43"/>
      <c r="I20" s="43"/>
    </row>
    <row r="21" spans="1:9" x14ac:dyDescent="0.25">
      <c r="A21" s="48"/>
      <c r="B21" s="48"/>
      <c r="C21" s="7"/>
      <c r="D21" s="7"/>
      <c r="E21" s="7"/>
      <c r="F21" s="48"/>
      <c r="G21" s="43"/>
      <c r="H21" s="43"/>
      <c r="I21" s="43"/>
    </row>
    <row r="22" spans="1:9" x14ac:dyDescent="0.25">
      <c r="A22" s="264" t="s">
        <v>79</v>
      </c>
      <c r="B22" s="264"/>
      <c r="C22" s="76"/>
      <c r="D22" s="76"/>
      <c r="E22" s="76"/>
      <c r="F22" s="76"/>
      <c r="G22" s="76"/>
      <c r="H22" s="43"/>
      <c r="I22" s="43"/>
    </row>
    <row r="23" spans="1:9" x14ac:dyDescent="0.25">
      <c r="A23" s="216" t="s">
        <v>0</v>
      </c>
      <c r="B23" s="220" t="s">
        <v>11</v>
      </c>
      <c r="C23" s="75"/>
      <c r="D23" s="75"/>
      <c r="E23" s="166"/>
      <c r="F23" s="165"/>
      <c r="G23" s="165"/>
      <c r="H23" s="43"/>
      <c r="I23" s="43"/>
    </row>
    <row r="24" spans="1:9" x14ac:dyDescent="0.25">
      <c r="A24" s="167">
        <f>B6</f>
        <v>100</v>
      </c>
      <c r="B24" s="167">
        <f>G6</f>
        <v>100</v>
      </c>
      <c r="C24" s="169"/>
      <c r="D24" s="169"/>
      <c r="E24" s="166"/>
      <c r="F24" s="165"/>
      <c r="G24" s="165"/>
      <c r="H24" s="43"/>
      <c r="I24" s="43"/>
    </row>
  </sheetData>
  <mergeCells count="5">
    <mergeCell ref="A1:G1"/>
    <mergeCell ref="A22:B22"/>
    <mergeCell ref="A18:B18"/>
    <mergeCell ref="A14:B14"/>
    <mergeCell ref="A10:B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workbookViewId="0">
      <selection activeCell="C16" sqref="C16"/>
    </sheetView>
  </sheetViews>
  <sheetFormatPr defaultRowHeight="15" x14ac:dyDescent="0.25"/>
  <cols>
    <col min="1" max="1" width="23.7109375" customWidth="1"/>
    <col min="2" max="2" width="18.5703125" bestFit="1" customWidth="1"/>
    <col min="3" max="3" width="12.28515625" bestFit="1" customWidth="1"/>
    <col min="4" max="4" width="14.28515625" bestFit="1" customWidth="1"/>
    <col min="5" max="5" width="13.28515625" customWidth="1"/>
    <col min="6" max="6" width="12.42578125" bestFit="1" customWidth="1"/>
    <col min="7" max="7" width="15.5703125" customWidth="1"/>
    <col min="8" max="8" width="13.42578125" bestFit="1" customWidth="1"/>
    <col min="9" max="9" width="12.42578125" bestFit="1" customWidth="1"/>
    <col min="10" max="10" width="12.28515625" bestFit="1" customWidth="1"/>
    <col min="11" max="11" width="10.85546875" customWidth="1"/>
  </cols>
  <sheetData>
    <row r="1" spans="1:12" x14ac:dyDescent="0.25">
      <c r="A1" s="261" t="s">
        <v>38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78"/>
    </row>
    <row r="2" spans="1:12" x14ac:dyDescent="0.25">
      <c r="A2" s="222"/>
      <c r="B2" s="223" t="s">
        <v>0</v>
      </c>
      <c r="C2" s="216" t="s">
        <v>165</v>
      </c>
      <c r="D2" s="223" t="s">
        <v>5</v>
      </c>
      <c r="E2" s="223" t="s">
        <v>6</v>
      </c>
      <c r="F2" s="223" t="s">
        <v>13</v>
      </c>
      <c r="G2" s="223" t="s">
        <v>8</v>
      </c>
      <c r="H2" s="223" t="s">
        <v>7</v>
      </c>
      <c r="I2" s="223" t="s">
        <v>14</v>
      </c>
      <c r="J2" s="223" t="s">
        <v>11</v>
      </c>
      <c r="K2" s="223" t="s">
        <v>39</v>
      </c>
    </row>
    <row r="3" spans="1:12" x14ac:dyDescent="0.25">
      <c r="A3" s="224" t="s">
        <v>1</v>
      </c>
      <c r="B3" s="56">
        <f>'zużycie całkowite i emisja'!B20</f>
        <v>5766.2669999999998</v>
      </c>
      <c r="C3" s="167">
        <f>'zużycie całkowite i emisja'!C20</f>
        <v>19.18</v>
      </c>
      <c r="D3" s="167">
        <f>'zużycie całkowite i emisja'!D20</f>
        <v>34452.6</v>
      </c>
      <c r="E3" s="167">
        <f>'zużycie całkowite i emisja'!E20</f>
        <v>292.61</v>
      </c>
      <c r="F3" s="167">
        <f>'zużycie całkowite i emisja'!F20</f>
        <v>9952.92</v>
      </c>
      <c r="G3" s="49"/>
      <c r="H3" s="49"/>
      <c r="I3" s="49"/>
      <c r="J3" s="66">
        <f>SUM(B3:I3)</f>
        <v>50483.576999999997</v>
      </c>
      <c r="K3" s="66">
        <f>(J3*100)/$J$10</f>
        <v>31.081378017534902</v>
      </c>
    </row>
    <row r="4" spans="1:12" x14ac:dyDescent="0.25">
      <c r="A4" s="224" t="s">
        <v>24</v>
      </c>
      <c r="B4" s="167">
        <f>'zużycie całkowite i emisja'!B21</f>
        <v>419.46899999999999</v>
      </c>
      <c r="C4" s="167">
        <f>'zużycie całkowite i emisja'!C21</f>
        <v>0</v>
      </c>
      <c r="D4" s="167">
        <f>'zużycie całkowite i emisja'!D21</f>
        <v>565.39</v>
      </c>
      <c r="E4" s="167">
        <f>'zużycie całkowite i emisja'!E21</f>
        <v>878.68765000000008</v>
      </c>
      <c r="F4" s="167">
        <f>'zużycie całkowite i emisja'!F21</f>
        <v>72</v>
      </c>
      <c r="G4" s="167">
        <f>'zużycie całkowite i emisja'!G21</f>
        <v>18.399999999999999</v>
      </c>
      <c r="H4" s="167">
        <f>'zużycie całkowite i emisja'!H21</f>
        <v>175</v>
      </c>
      <c r="I4" s="49"/>
      <c r="J4" s="66">
        <f t="shared" ref="J4:J9" si="0">SUM(B4:I4)</f>
        <v>2128.9466499999999</v>
      </c>
      <c r="K4" s="66">
        <f t="shared" ref="K4:K9" si="1">(J4*100)/$J$10</f>
        <v>1.3107350853489357</v>
      </c>
    </row>
    <row r="5" spans="1:12" x14ac:dyDescent="0.25">
      <c r="A5" s="224" t="s">
        <v>2</v>
      </c>
      <c r="B5" s="167">
        <f>'zużycie całkowite i emisja'!B22</f>
        <v>464.93</v>
      </c>
      <c r="C5" s="49"/>
      <c r="D5" s="49"/>
      <c r="E5" s="49"/>
      <c r="F5" s="49"/>
      <c r="G5" s="49"/>
      <c r="H5" s="49"/>
      <c r="I5" s="49"/>
      <c r="J5" s="66">
        <f t="shared" si="0"/>
        <v>464.93</v>
      </c>
      <c r="K5" s="66">
        <f t="shared" si="1"/>
        <v>0.28624487289584299</v>
      </c>
    </row>
    <row r="6" spans="1:12" x14ac:dyDescent="0.25">
      <c r="A6" s="224" t="s">
        <v>3</v>
      </c>
      <c r="B6" s="167">
        <f>'zużycie całkowite i emisja'!B23</f>
        <v>3617.0610000000001</v>
      </c>
      <c r="C6" s="167">
        <f>'zużycie całkowite i emisja'!C23</f>
        <v>6.7700000000000005</v>
      </c>
      <c r="D6" s="167">
        <f>'zużycie całkowite i emisja'!D23</f>
        <v>12105.1</v>
      </c>
      <c r="E6" s="167">
        <f>'zużycie całkowite i emisja'!E23</f>
        <v>0</v>
      </c>
      <c r="F6" s="167">
        <f>'zużycie całkowite i emisja'!F23</f>
        <v>3423.36</v>
      </c>
      <c r="G6" s="49"/>
      <c r="H6" s="49"/>
      <c r="I6" s="49"/>
      <c r="J6" s="66">
        <f t="shared" si="0"/>
        <v>19152.291000000001</v>
      </c>
      <c r="K6" s="66">
        <f t="shared" si="1"/>
        <v>11.791549486931791</v>
      </c>
    </row>
    <row r="7" spans="1:12" x14ac:dyDescent="0.25">
      <c r="A7" s="224" t="s">
        <v>4</v>
      </c>
      <c r="B7" s="49"/>
      <c r="C7" s="49"/>
      <c r="D7" s="49"/>
      <c r="E7" s="49"/>
      <c r="F7" s="49"/>
      <c r="G7" s="56">
        <f>'zużycie całkowite i emisja'!G24</f>
        <v>25381.127530989444</v>
      </c>
      <c r="H7" s="56">
        <f>'zużycie całkowite i emisja'!H24</f>
        <v>40148.136866629975</v>
      </c>
      <c r="I7" s="56">
        <f>'zużycie całkowite i emisja'!I24</f>
        <v>5009.5390706291646</v>
      </c>
      <c r="J7" s="66">
        <f t="shared" si="0"/>
        <v>70538.803468248589</v>
      </c>
      <c r="K7" s="66">
        <f t="shared" si="1"/>
        <v>43.42884054157328</v>
      </c>
    </row>
    <row r="8" spans="1:12" x14ac:dyDescent="0.25">
      <c r="A8" s="224" t="s">
        <v>19</v>
      </c>
      <c r="B8" s="49"/>
      <c r="C8" s="49"/>
      <c r="D8" s="49"/>
      <c r="E8" s="49"/>
      <c r="F8" s="49"/>
      <c r="G8" s="49"/>
      <c r="H8" s="56">
        <f>'zużycie całkowite i emisja'!H25</f>
        <v>267.82679999999999</v>
      </c>
      <c r="I8" s="49"/>
      <c r="J8" s="66">
        <f t="shared" si="0"/>
        <v>267.82679999999999</v>
      </c>
      <c r="K8" s="66">
        <f t="shared" si="1"/>
        <v>0.16489374384122418</v>
      </c>
    </row>
    <row r="9" spans="1:12" s="163" customFormat="1" x14ac:dyDescent="0.25">
      <c r="A9" s="224" t="s">
        <v>167</v>
      </c>
      <c r="B9" s="167">
        <f>'zużycie całkowite i emisja'!B26</f>
        <v>19387.494999999999</v>
      </c>
      <c r="C9" s="49"/>
      <c r="D9" s="49"/>
      <c r="E9" s="49"/>
      <c r="F9" s="49"/>
      <c r="G9" s="49"/>
      <c r="H9" s="49"/>
      <c r="I9" s="49"/>
      <c r="J9" s="66">
        <f t="shared" si="0"/>
        <v>19387.494999999999</v>
      </c>
      <c r="K9" s="66">
        <f t="shared" si="1"/>
        <v>11.936358251874026</v>
      </c>
    </row>
    <row r="10" spans="1:12" x14ac:dyDescent="0.25">
      <c r="A10" s="222" t="s">
        <v>11</v>
      </c>
      <c r="B10" s="66">
        <f>SUM(B3:B9)</f>
        <v>29655.222000000002</v>
      </c>
      <c r="C10" s="66">
        <f t="shared" ref="C10:I10" si="2">SUM(C3:C9)</f>
        <v>25.95</v>
      </c>
      <c r="D10" s="66">
        <f t="shared" si="2"/>
        <v>47123.09</v>
      </c>
      <c r="E10" s="66">
        <f t="shared" si="2"/>
        <v>1171.29765</v>
      </c>
      <c r="F10" s="66">
        <f t="shared" si="2"/>
        <v>13448.28</v>
      </c>
      <c r="G10" s="66">
        <f t="shared" si="2"/>
        <v>25399.527530989446</v>
      </c>
      <c r="H10" s="66">
        <f t="shared" si="2"/>
        <v>40590.963666629978</v>
      </c>
      <c r="I10" s="66">
        <f t="shared" si="2"/>
        <v>5009.5390706291646</v>
      </c>
      <c r="J10" s="66">
        <f>SUM(J3:J9)</f>
        <v>162423.86991824859</v>
      </c>
      <c r="K10" s="20"/>
    </row>
    <row r="11" spans="1:12" x14ac:dyDescent="0.25">
      <c r="A11" s="222" t="s">
        <v>39</v>
      </c>
      <c r="B11" s="24">
        <f t="shared" ref="B11:J11" si="3">(B10*100)/$J$10</f>
        <v>18.257921089385512</v>
      </c>
      <c r="C11" s="57">
        <f t="shared" si="3"/>
        <v>1.5976715745697471E-2</v>
      </c>
      <c r="D11" s="57">
        <f t="shared" si="3"/>
        <v>29.012416724043124</v>
      </c>
      <c r="E11" s="57">
        <f t="shared" si="3"/>
        <v>0.72113640106564336</v>
      </c>
      <c r="F11" s="57">
        <f t="shared" si="3"/>
        <v>8.2797436157436763</v>
      </c>
      <c r="G11" s="57">
        <f t="shared" si="3"/>
        <v>15.637804679677668</v>
      </c>
      <c r="H11" s="57">
        <f t="shared" si="3"/>
        <v>24.990762556673644</v>
      </c>
      <c r="I11" s="57">
        <f t="shared" si="3"/>
        <v>3.0842382176650345</v>
      </c>
      <c r="J11" s="24">
        <f t="shared" si="3"/>
        <v>100</v>
      </c>
      <c r="K11" s="30"/>
    </row>
    <row r="12" spans="1:12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8"/>
    </row>
    <row r="13" spans="1:12" x14ac:dyDescent="0.25">
      <c r="A13" s="261" t="s">
        <v>38</v>
      </c>
      <c r="B13" s="262"/>
      <c r="C13" s="262"/>
      <c r="D13" s="262"/>
      <c r="E13" s="262"/>
      <c r="F13" s="262"/>
      <c r="G13" s="262"/>
      <c r="H13" s="262"/>
      <c r="I13" s="262"/>
      <c r="J13" s="263"/>
      <c r="K13" s="77"/>
    </row>
    <row r="14" spans="1:12" x14ac:dyDescent="0.25">
      <c r="A14" s="225"/>
      <c r="B14" s="225" t="s">
        <v>0</v>
      </c>
      <c r="C14" s="216" t="s">
        <v>165</v>
      </c>
      <c r="D14" s="225" t="s">
        <v>5</v>
      </c>
      <c r="E14" s="225" t="s">
        <v>6</v>
      </c>
      <c r="F14" s="225" t="s">
        <v>13</v>
      </c>
      <c r="G14" s="225" t="s">
        <v>8</v>
      </c>
      <c r="H14" s="225" t="s">
        <v>7</v>
      </c>
      <c r="I14" s="225" t="s">
        <v>14</v>
      </c>
      <c r="J14" s="223" t="s">
        <v>40</v>
      </c>
    </row>
    <row r="15" spans="1:12" x14ac:dyDescent="0.25">
      <c r="A15" s="22" t="s">
        <v>40</v>
      </c>
      <c r="B15" s="24">
        <f>B10</f>
        <v>29655.222000000002</v>
      </c>
      <c r="C15" s="57">
        <f t="shared" ref="C15" si="4">C10</f>
        <v>25.95</v>
      </c>
      <c r="D15" s="57">
        <f t="shared" ref="D15:J15" si="5">D10</f>
        <v>47123.09</v>
      </c>
      <c r="E15" s="57">
        <f t="shared" si="5"/>
        <v>1171.29765</v>
      </c>
      <c r="F15" s="57">
        <f t="shared" si="5"/>
        <v>13448.28</v>
      </c>
      <c r="G15" s="67">
        <f t="shared" si="5"/>
        <v>25399.527530989446</v>
      </c>
      <c r="H15" s="67">
        <f t="shared" si="5"/>
        <v>40590.963666629978</v>
      </c>
      <c r="I15" s="67">
        <f t="shared" si="5"/>
        <v>5009.5390706291646</v>
      </c>
      <c r="J15" s="66">
        <f t="shared" si="5"/>
        <v>162423.86991824859</v>
      </c>
    </row>
    <row r="16" spans="1:12" x14ac:dyDescent="0.25">
      <c r="A16" s="22" t="s">
        <v>39</v>
      </c>
      <c r="B16" s="24">
        <f t="shared" ref="B16:C16" si="6">B11</f>
        <v>18.257921089385512</v>
      </c>
      <c r="C16" s="68">
        <f t="shared" si="6"/>
        <v>1.5976715745697471E-2</v>
      </c>
      <c r="D16" s="57">
        <f t="shared" ref="D16:J16" si="7">D11</f>
        <v>29.012416724043124</v>
      </c>
      <c r="E16" s="57">
        <f t="shared" si="7"/>
        <v>0.72113640106564336</v>
      </c>
      <c r="F16" s="57">
        <f t="shared" si="7"/>
        <v>8.2797436157436763</v>
      </c>
      <c r="G16" s="67">
        <f t="shared" si="7"/>
        <v>15.637804679677668</v>
      </c>
      <c r="H16" s="67">
        <f t="shared" si="7"/>
        <v>24.990762556673644</v>
      </c>
      <c r="I16" s="67">
        <f t="shared" si="7"/>
        <v>3.0842382176650345</v>
      </c>
      <c r="J16" s="66">
        <f t="shared" si="7"/>
        <v>100</v>
      </c>
    </row>
    <row r="17" spans="1:10" x14ac:dyDescent="0.25">
      <c r="A17" s="30"/>
      <c r="B17" s="30"/>
      <c r="C17" s="30"/>
      <c r="D17" s="30"/>
      <c r="E17" s="30"/>
      <c r="F17" s="30"/>
      <c r="G17" s="17"/>
      <c r="H17" s="51"/>
      <c r="I17" s="51"/>
      <c r="J17" s="43"/>
    </row>
    <row r="18" spans="1:10" x14ac:dyDescent="0.25">
      <c r="A18" s="264" t="s">
        <v>38</v>
      </c>
      <c r="B18" s="264"/>
      <c r="C18" s="264"/>
      <c r="D18" s="30"/>
      <c r="E18" s="30"/>
      <c r="F18" s="30"/>
      <c r="G18" s="51"/>
      <c r="H18" s="51"/>
      <c r="I18" s="51"/>
      <c r="J18" s="43"/>
    </row>
    <row r="19" spans="1:10" x14ac:dyDescent="0.25">
      <c r="A19" s="223"/>
      <c r="B19" s="223" t="s">
        <v>40</v>
      </c>
      <c r="C19" s="223" t="s">
        <v>39</v>
      </c>
      <c r="D19" s="30"/>
      <c r="E19" s="30"/>
      <c r="F19" s="30"/>
      <c r="G19" s="51"/>
      <c r="H19" s="66"/>
      <c r="I19" s="51"/>
      <c r="J19" s="43"/>
    </row>
    <row r="20" spans="1:10" x14ac:dyDescent="0.25">
      <c r="A20" s="223" t="s">
        <v>1</v>
      </c>
      <c r="B20" s="24">
        <f t="shared" ref="B20:C26" si="8">J3</f>
        <v>50483.576999999997</v>
      </c>
      <c r="C20" s="24">
        <f t="shared" si="8"/>
        <v>31.081378017534902</v>
      </c>
      <c r="D20" s="30"/>
      <c r="E20" s="30"/>
      <c r="F20" s="30"/>
      <c r="G20" s="30"/>
      <c r="H20" s="22"/>
      <c r="I20" s="30"/>
      <c r="J20" s="8"/>
    </row>
    <row r="21" spans="1:10" x14ac:dyDescent="0.25">
      <c r="A21" s="223" t="s">
        <v>24</v>
      </c>
      <c r="B21" s="168">
        <f t="shared" si="8"/>
        <v>2128.9466499999999</v>
      </c>
      <c r="C21" s="168">
        <f t="shared" si="8"/>
        <v>1.3107350853489357</v>
      </c>
      <c r="D21" s="30"/>
      <c r="E21" s="30"/>
      <c r="F21" s="30"/>
      <c r="G21" s="30"/>
      <c r="H21" s="31"/>
      <c r="I21" s="30"/>
      <c r="J21" s="8"/>
    </row>
    <row r="22" spans="1:10" x14ac:dyDescent="0.25">
      <c r="A22" s="223" t="s">
        <v>2</v>
      </c>
      <c r="B22" s="168">
        <f t="shared" si="8"/>
        <v>464.93</v>
      </c>
      <c r="C22" s="168">
        <f t="shared" si="8"/>
        <v>0.28624487289584299</v>
      </c>
      <c r="D22" s="30"/>
      <c r="E22" s="30"/>
      <c r="F22" s="30"/>
      <c r="G22" s="30"/>
      <c r="H22" s="30"/>
      <c r="I22" s="30"/>
      <c r="J22" s="8"/>
    </row>
    <row r="23" spans="1:10" x14ac:dyDescent="0.25">
      <c r="A23" s="223" t="s">
        <v>3</v>
      </c>
      <c r="B23" s="168">
        <f t="shared" si="8"/>
        <v>19152.291000000001</v>
      </c>
      <c r="C23" s="168">
        <f t="shared" si="8"/>
        <v>11.791549486931791</v>
      </c>
      <c r="D23" s="264" t="s">
        <v>47</v>
      </c>
      <c r="E23" s="264"/>
      <c r="F23" s="30"/>
      <c r="G23" s="30"/>
      <c r="H23" s="30"/>
      <c r="I23" s="30"/>
      <c r="J23" s="8"/>
    </row>
    <row r="24" spans="1:10" x14ac:dyDescent="0.25">
      <c r="A24" s="223" t="s">
        <v>4</v>
      </c>
      <c r="B24" s="168">
        <f t="shared" si="8"/>
        <v>70538.803468248589</v>
      </c>
      <c r="C24" s="168">
        <f t="shared" si="8"/>
        <v>43.42884054157328</v>
      </c>
      <c r="D24" s="223" t="s">
        <v>40</v>
      </c>
      <c r="E24" s="223" t="s">
        <v>39</v>
      </c>
      <c r="F24" s="30"/>
      <c r="G24" s="30"/>
      <c r="H24" s="30"/>
      <c r="I24" s="30"/>
      <c r="J24" s="8"/>
    </row>
    <row r="25" spans="1:10" x14ac:dyDescent="0.25">
      <c r="A25" s="223" t="s">
        <v>19</v>
      </c>
      <c r="B25" s="168">
        <f t="shared" si="8"/>
        <v>267.82679999999999</v>
      </c>
      <c r="C25" s="168">
        <f t="shared" si="8"/>
        <v>0.16489374384122418</v>
      </c>
      <c r="D25" s="24">
        <f>B24+B25</f>
        <v>70806.630268248584</v>
      </c>
      <c r="E25" s="24">
        <f>C24+C25</f>
        <v>43.593734285414506</v>
      </c>
      <c r="F25" s="30"/>
      <c r="G25" s="30"/>
      <c r="H25" s="30"/>
      <c r="I25" s="30"/>
      <c r="J25" s="8"/>
    </row>
    <row r="26" spans="1:10" s="163" customFormat="1" x14ac:dyDescent="0.25">
      <c r="A26" s="223" t="s">
        <v>167</v>
      </c>
      <c r="B26" s="168">
        <f t="shared" si="8"/>
        <v>19387.494999999999</v>
      </c>
      <c r="C26" s="168">
        <f t="shared" si="8"/>
        <v>11.936358251874026</v>
      </c>
      <c r="D26" s="168"/>
      <c r="E26" s="168"/>
      <c r="F26" s="51"/>
      <c r="G26" s="51"/>
      <c r="H26" s="51"/>
      <c r="I26" s="51"/>
      <c r="J26" s="43"/>
    </row>
    <row r="27" spans="1:10" x14ac:dyDescent="0.25">
      <c r="A27" s="223" t="s">
        <v>40</v>
      </c>
      <c r="B27" s="22">
        <f>SUM(B20:B26)</f>
        <v>162423.86991824859</v>
      </c>
      <c r="C27" s="22">
        <f>SUM(C20:C26)</f>
        <v>100</v>
      </c>
      <c r="D27" s="30"/>
      <c r="E27" s="30"/>
      <c r="F27" s="30"/>
      <c r="G27" s="30"/>
      <c r="H27" s="30"/>
      <c r="I27" s="30"/>
      <c r="J27" s="8"/>
    </row>
  </sheetData>
  <mergeCells count="4">
    <mergeCell ref="A18:C18"/>
    <mergeCell ref="D23:E23"/>
    <mergeCell ref="A1:K1"/>
    <mergeCell ref="A13:J1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5" zoomScale="90" zoomScaleNormal="90" workbookViewId="0">
      <selection activeCell="G58" sqref="G58"/>
    </sheetView>
  </sheetViews>
  <sheetFormatPr defaultRowHeight="15" x14ac:dyDescent="0.25"/>
  <cols>
    <col min="1" max="1" width="27.5703125" customWidth="1"/>
    <col min="2" max="2" width="18.5703125" bestFit="1" customWidth="1"/>
    <col min="3" max="3" width="12.42578125" customWidth="1"/>
    <col min="4" max="4" width="14.28515625" bestFit="1" customWidth="1"/>
    <col min="5" max="5" width="12.28515625" bestFit="1" customWidth="1"/>
    <col min="6" max="6" width="12.42578125" bestFit="1" customWidth="1"/>
    <col min="7" max="7" width="17.5703125" bestFit="1" customWidth="1"/>
    <col min="8" max="8" width="17.28515625" customWidth="1"/>
    <col min="9" max="9" width="13.42578125" bestFit="1" customWidth="1"/>
    <col min="10" max="10" width="12.42578125" bestFit="1" customWidth="1"/>
    <col min="11" max="11" width="12.28515625" bestFit="1" customWidth="1"/>
    <col min="12" max="12" width="12.42578125" customWidth="1"/>
  </cols>
  <sheetData>
    <row r="1" spans="1:14" x14ac:dyDescent="0.25">
      <c r="A1" s="261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78"/>
      <c r="N1" s="39" t="s">
        <v>83</v>
      </c>
    </row>
    <row r="2" spans="1:14" x14ac:dyDescent="0.25">
      <c r="A2" s="222"/>
      <c r="B2" s="223" t="s">
        <v>0</v>
      </c>
      <c r="C2" s="216" t="s">
        <v>165</v>
      </c>
      <c r="D2" s="223" t="s">
        <v>5</v>
      </c>
      <c r="E2" s="223" t="s">
        <v>6</v>
      </c>
      <c r="F2" s="223" t="s">
        <v>13</v>
      </c>
      <c r="G2" s="223" t="s">
        <v>8</v>
      </c>
      <c r="H2" s="223" t="s">
        <v>7</v>
      </c>
      <c r="I2" s="223" t="s">
        <v>14</v>
      </c>
      <c r="J2" s="223" t="s">
        <v>11</v>
      </c>
      <c r="K2" s="223" t="s">
        <v>39</v>
      </c>
    </row>
    <row r="3" spans="1:14" x14ac:dyDescent="0.25">
      <c r="A3" s="222" t="s">
        <v>1</v>
      </c>
      <c r="B3" s="67">
        <f>'zużycie całkowite i emisja'!B49</f>
        <v>4682.2088039999999</v>
      </c>
      <c r="C3" s="168">
        <f>'zużycie całkowite i emisja'!C49</f>
        <v>4.3538600000000001</v>
      </c>
      <c r="D3" s="168">
        <f>'zużycie całkowite i emisja'!D49</f>
        <v>11920.599599999998</v>
      </c>
      <c r="E3" s="168">
        <f>'zużycie całkowite i emisja'!E49</f>
        <v>81.638190000000009</v>
      </c>
      <c r="F3" s="168">
        <f>'zużycie całkowite i emisja'!F49</f>
        <v>2000.5369200000002</v>
      </c>
      <c r="G3" s="49"/>
      <c r="H3" s="49"/>
      <c r="I3" s="49"/>
      <c r="J3" s="66">
        <f>SUM(B3:I3)</f>
        <v>18689.337373999999</v>
      </c>
      <c r="K3" s="66">
        <f>(J3*100)/$J$10</f>
        <v>30.280917645758812</v>
      </c>
    </row>
    <row r="4" spans="1:14" x14ac:dyDescent="0.25">
      <c r="A4" s="222" t="s">
        <v>24</v>
      </c>
      <c r="B4" s="168">
        <f>'zużycie całkowite i emisja'!B50</f>
        <v>340.60882800000002</v>
      </c>
      <c r="C4" s="168">
        <f>'zużycie całkowite i emisja'!C50</f>
        <v>0</v>
      </c>
      <c r="D4" s="168">
        <f>'zużycie całkowite i emisja'!D50</f>
        <v>195.62493999999998</v>
      </c>
      <c r="E4" s="168">
        <f>'zużycie całkowite i emisja'!E50</f>
        <v>245.15385435000005</v>
      </c>
      <c r="F4" s="168">
        <f>'zużycie całkowite i emisja'!F50</f>
        <v>14.472000000000001</v>
      </c>
      <c r="G4" s="168">
        <f>'zużycie całkowite i emisja'!G50</f>
        <v>4.5815999999999999</v>
      </c>
      <c r="H4" s="168">
        <f>'zużycie całkowite i emisja'!H50</f>
        <v>46.725000000000001</v>
      </c>
      <c r="I4" s="49"/>
      <c r="J4" s="66">
        <f t="shared" ref="J4:J9" si="0">SUM(B4:I4)</f>
        <v>847.16622235000011</v>
      </c>
      <c r="K4" s="66">
        <f t="shared" ref="K4:K9" si="1">(J4*100)/$J$10</f>
        <v>1.3725992579563862</v>
      </c>
    </row>
    <row r="5" spans="1:14" x14ac:dyDescent="0.25">
      <c r="A5" s="222" t="s">
        <v>2</v>
      </c>
      <c r="B5" s="168">
        <f>'zużycie całkowite i emisja'!B51</f>
        <v>377.52316000000002</v>
      </c>
      <c r="C5" s="49"/>
      <c r="D5" s="49"/>
      <c r="E5" s="49"/>
      <c r="F5" s="49"/>
      <c r="G5" s="49"/>
      <c r="H5" s="49"/>
      <c r="I5" s="49"/>
      <c r="J5" s="66">
        <f t="shared" si="0"/>
        <v>377.52316000000002</v>
      </c>
      <c r="K5" s="66">
        <f t="shared" si="1"/>
        <v>0.61167217909127714</v>
      </c>
    </row>
    <row r="6" spans="1:14" x14ac:dyDescent="0.25">
      <c r="A6" s="222" t="s">
        <v>3</v>
      </c>
      <c r="B6" s="168">
        <f>'zużycie całkowite i emisja'!B52</f>
        <v>2937.0535320000004</v>
      </c>
      <c r="C6" s="67">
        <f>'zużycie całkowite i emisja'!C52</f>
        <v>1.5367900000000001</v>
      </c>
      <c r="D6" s="67">
        <f>'zużycie całkowite i emisja'!D52</f>
        <v>4188.3645999999999</v>
      </c>
      <c r="E6" s="67">
        <f>'zużycie całkowite i emisja'!E52</f>
        <v>0</v>
      </c>
      <c r="F6" s="67">
        <f>'zużycie całkowite i emisja'!F52</f>
        <v>688.09536000000003</v>
      </c>
      <c r="G6" s="49"/>
      <c r="H6" s="49"/>
      <c r="I6" s="49"/>
      <c r="J6" s="66">
        <f t="shared" si="0"/>
        <v>7815.0502820000011</v>
      </c>
      <c r="K6" s="66">
        <f t="shared" si="1"/>
        <v>12.662133988544811</v>
      </c>
    </row>
    <row r="7" spans="1:14" x14ac:dyDescent="0.25">
      <c r="A7" s="222" t="s">
        <v>4</v>
      </c>
      <c r="B7" s="49"/>
      <c r="C7" s="49"/>
      <c r="D7" s="49"/>
      <c r="E7" s="49"/>
      <c r="F7" s="49"/>
      <c r="G7" s="56">
        <f>'zużycie całkowite i emisja'!G53</f>
        <v>6319.9007552163721</v>
      </c>
      <c r="H7" s="56">
        <f>'zużycie całkowite i emisja'!H53</f>
        <v>10719.552543390204</v>
      </c>
      <c r="I7" s="56">
        <f>'zużycie całkowite i emisja'!I53</f>
        <v>1137.1653690328203</v>
      </c>
      <c r="J7" s="66">
        <f t="shared" si="0"/>
        <v>18176.618667639395</v>
      </c>
      <c r="K7" s="66">
        <f t="shared" si="1"/>
        <v>29.450198363846543</v>
      </c>
    </row>
    <row r="8" spans="1:14" x14ac:dyDescent="0.25">
      <c r="A8" s="222" t="s">
        <v>19</v>
      </c>
      <c r="B8" s="49"/>
      <c r="C8" s="49"/>
      <c r="D8" s="49"/>
      <c r="E8" s="49"/>
      <c r="F8" s="49"/>
      <c r="G8" s="49"/>
      <c r="H8" s="56">
        <f>'zużycie całkowite i emisja'!H54</f>
        <v>71.509755600000005</v>
      </c>
      <c r="I8" s="49"/>
      <c r="J8" s="66">
        <f t="shared" si="0"/>
        <v>71.509755600000005</v>
      </c>
      <c r="K8" s="66">
        <f t="shared" si="1"/>
        <v>0.11586184019580856</v>
      </c>
    </row>
    <row r="9" spans="1:14" s="163" customFormat="1" x14ac:dyDescent="0.25">
      <c r="A9" s="224" t="s">
        <v>167</v>
      </c>
      <c r="B9" s="168">
        <f>'zużycie całkowite i emisja'!B55</f>
        <v>15742.64594</v>
      </c>
      <c r="C9" s="49"/>
      <c r="D9" s="49"/>
      <c r="E9" s="49"/>
      <c r="F9" s="49"/>
      <c r="G9" s="49"/>
      <c r="H9" s="49"/>
      <c r="I9" s="49"/>
      <c r="J9" s="66">
        <f t="shared" si="0"/>
        <v>15742.64594</v>
      </c>
      <c r="K9" s="66">
        <f t="shared" si="1"/>
        <v>25.506616724606374</v>
      </c>
    </row>
    <row r="10" spans="1:14" x14ac:dyDescent="0.25">
      <c r="A10" s="222" t="s">
        <v>11</v>
      </c>
      <c r="B10" s="66">
        <f>SUM(B3:B9)</f>
        <v>24080.040264000003</v>
      </c>
      <c r="C10" s="66">
        <f t="shared" ref="C10:I10" si="2">SUM(C3:C9)</f>
        <v>5.8906499999999999</v>
      </c>
      <c r="D10" s="66">
        <f t="shared" si="2"/>
        <v>16304.589139999996</v>
      </c>
      <c r="E10" s="66">
        <f t="shared" si="2"/>
        <v>326.79204435000008</v>
      </c>
      <c r="F10" s="66">
        <f t="shared" si="2"/>
        <v>2703.1042800000005</v>
      </c>
      <c r="G10" s="66">
        <f t="shared" si="2"/>
        <v>6324.4823552163725</v>
      </c>
      <c r="H10" s="66">
        <f t="shared" si="2"/>
        <v>10837.787298990204</v>
      </c>
      <c r="I10" s="66">
        <f t="shared" si="2"/>
        <v>1137.1653690328203</v>
      </c>
      <c r="J10" s="66">
        <f>SUM(J3:J9)</f>
        <v>61719.851401589389</v>
      </c>
      <c r="K10" s="20"/>
    </row>
    <row r="11" spans="1:14" x14ac:dyDescent="0.25">
      <c r="A11" s="222" t="s">
        <v>39</v>
      </c>
      <c r="B11" s="67">
        <f t="shared" ref="B11:J11" si="3">(B10*100)/$J$10</f>
        <v>39.015065197289026</v>
      </c>
      <c r="C11" s="67">
        <f t="shared" si="3"/>
        <v>9.5441739832968966E-3</v>
      </c>
      <c r="D11" s="67">
        <f t="shared" si="3"/>
        <v>26.417090724849228</v>
      </c>
      <c r="E11" s="67">
        <f t="shared" si="3"/>
        <v>0.52947639524223589</v>
      </c>
      <c r="F11" s="67">
        <f t="shared" si="3"/>
        <v>4.3796351070449777</v>
      </c>
      <c r="G11" s="67">
        <f t="shared" si="3"/>
        <v>10.24707968602385</v>
      </c>
      <c r="H11" s="67">
        <f t="shared" si="3"/>
        <v>17.559645807428357</v>
      </c>
      <c r="I11" s="67">
        <f t="shared" si="3"/>
        <v>1.842462908139044</v>
      </c>
      <c r="J11" s="67">
        <f t="shared" si="3"/>
        <v>100</v>
      </c>
      <c r="K11" s="51"/>
    </row>
    <row r="12" spans="1:14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43"/>
    </row>
    <row r="13" spans="1:14" x14ac:dyDescent="0.25">
      <c r="A13" s="261" t="s">
        <v>81</v>
      </c>
      <c r="B13" s="262"/>
      <c r="C13" s="262"/>
      <c r="D13" s="262"/>
      <c r="E13" s="262"/>
      <c r="F13" s="262"/>
      <c r="G13" s="262"/>
      <c r="H13" s="262"/>
      <c r="I13" s="262"/>
      <c r="J13" s="263"/>
      <c r="K13" s="76"/>
    </row>
    <row r="14" spans="1:14" x14ac:dyDescent="0.25">
      <c r="A14" s="225"/>
      <c r="B14" s="225" t="s">
        <v>0</v>
      </c>
      <c r="C14" s="216" t="s">
        <v>165</v>
      </c>
      <c r="D14" s="225" t="s">
        <v>5</v>
      </c>
      <c r="E14" s="225" t="s">
        <v>6</v>
      </c>
      <c r="F14" s="225" t="s">
        <v>13</v>
      </c>
      <c r="G14" s="225" t="s">
        <v>8</v>
      </c>
      <c r="H14" s="225" t="s">
        <v>7</v>
      </c>
      <c r="I14" s="225" t="s">
        <v>14</v>
      </c>
      <c r="J14" s="223" t="s">
        <v>40</v>
      </c>
      <c r="K14" s="54"/>
    </row>
    <row r="15" spans="1:14" x14ac:dyDescent="0.25">
      <c r="A15" s="66" t="s">
        <v>40</v>
      </c>
      <c r="B15" s="66">
        <f t="shared" ref="B15:C15" si="4">B10</f>
        <v>24080.040264000003</v>
      </c>
      <c r="C15" s="66">
        <f t="shared" si="4"/>
        <v>5.8906499999999999</v>
      </c>
      <c r="D15" s="66">
        <f t="shared" ref="D15:J16" si="5">D10</f>
        <v>16304.589139999996</v>
      </c>
      <c r="E15" s="66">
        <f t="shared" si="5"/>
        <v>326.79204435000008</v>
      </c>
      <c r="F15" s="66">
        <f t="shared" si="5"/>
        <v>2703.1042800000005</v>
      </c>
      <c r="G15" s="66">
        <f t="shared" si="5"/>
        <v>6324.4823552163725</v>
      </c>
      <c r="H15" s="66">
        <f t="shared" si="5"/>
        <v>10837.787298990204</v>
      </c>
      <c r="I15" s="66">
        <f t="shared" si="5"/>
        <v>1137.1653690328203</v>
      </c>
      <c r="J15" s="66">
        <f t="shared" si="5"/>
        <v>61719.851401589389</v>
      </c>
      <c r="K15" s="54"/>
    </row>
    <row r="16" spans="1:14" x14ac:dyDescent="0.25">
      <c r="A16" s="66" t="s">
        <v>39</v>
      </c>
      <c r="B16" s="67">
        <f t="shared" ref="B16:C16" si="6">B11</f>
        <v>39.015065197289026</v>
      </c>
      <c r="C16" s="68">
        <f t="shared" si="6"/>
        <v>9.5441739832968966E-3</v>
      </c>
      <c r="D16" s="67">
        <f t="shared" si="5"/>
        <v>26.417090724849228</v>
      </c>
      <c r="E16" s="67">
        <f t="shared" si="5"/>
        <v>0.52947639524223589</v>
      </c>
      <c r="F16" s="67">
        <f t="shared" si="5"/>
        <v>4.3796351070449777</v>
      </c>
      <c r="G16" s="67">
        <f t="shared" si="5"/>
        <v>10.24707968602385</v>
      </c>
      <c r="H16" s="67">
        <f t="shared" si="5"/>
        <v>17.559645807428357</v>
      </c>
      <c r="I16" s="67">
        <f t="shared" si="5"/>
        <v>1.842462908139044</v>
      </c>
      <c r="J16" s="67">
        <f t="shared" si="5"/>
        <v>100</v>
      </c>
      <c r="K16" s="54"/>
    </row>
    <row r="17" spans="1:11" x14ac:dyDescent="0.25">
      <c r="A17" s="30"/>
      <c r="B17" s="30"/>
      <c r="C17" s="30"/>
      <c r="D17" s="30"/>
      <c r="E17" s="30"/>
      <c r="F17" s="30"/>
      <c r="G17" s="17"/>
      <c r="H17" s="17"/>
      <c r="I17" s="30"/>
      <c r="J17" s="30"/>
      <c r="K17" s="8"/>
    </row>
    <row r="18" spans="1:11" x14ac:dyDescent="0.25">
      <c r="A18" s="264" t="s">
        <v>81</v>
      </c>
      <c r="B18" s="264"/>
      <c r="C18" s="264"/>
      <c r="D18" s="30"/>
      <c r="E18" s="30"/>
      <c r="F18" s="30"/>
      <c r="G18" s="21"/>
      <c r="H18" s="30"/>
      <c r="I18" s="30"/>
      <c r="J18" s="30"/>
      <c r="K18" s="8"/>
    </row>
    <row r="19" spans="1:11" x14ac:dyDescent="0.25">
      <c r="A19" s="222"/>
      <c r="B19" s="223" t="s">
        <v>40</v>
      </c>
      <c r="C19" s="223" t="s">
        <v>39</v>
      </c>
      <c r="D19" s="30"/>
      <c r="E19" s="30"/>
      <c r="F19" s="30"/>
      <c r="G19" s="30"/>
      <c r="H19" s="30"/>
      <c r="I19" s="22"/>
      <c r="J19" s="30"/>
      <c r="K19" s="8"/>
    </row>
    <row r="20" spans="1:11" x14ac:dyDescent="0.25">
      <c r="A20" s="222" t="s">
        <v>1</v>
      </c>
      <c r="B20" s="24">
        <f t="shared" ref="B20:C26" si="7">J3</f>
        <v>18689.337373999999</v>
      </c>
      <c r="C20" s="24">
        <f t="shared" si="7"/>
        <v>30.280917645758812</v>
      </c>
      <c r="D20" s="30"/>
      <c r="E20" s="30"/>
      <c r="F20" s="30"/>
      <c r="G20" s="30"/>
      <c r="H20" s="30"/>
      <c r="I20" s="22"/>
      <c r="J20" s="30"/>
      <c r="K20" s="8"/>
    </row>
    <row r="21" spans="1:11" x14ac:dyDescent="0.25">
      <c r="A21" s="222" t="s">
        <v>24</v>
      </c>
      <c r="B21" s="168">
        <f t="shared" si="7"/>
        <v>847.16622235000011</v>
      </c>
      <c r="C21" s="168">
        <f t="shared" si="7"/>
        <v>1.3725992579563862</v>
      </c>
      <c r="D21" s="30"/>
      <c r="E21" s="30"/>
      <c r="F21" s="30"/>
      <c r="G21" s="30"/>
      <c r="H21" s="30"/>
      <c r="I21" s="31"/>
      <c r="J21" s="30"/>
      <c r="K21" s="8"/>
    </row>
    <row r="22" spans="1:11" x14ac:dyDescent="0.25">
      <c r="A22" s="222" t="s">
        <v>2</v>
      </c>
      <c r="B22" s="168">
        <f t="shared" si="7"/>
        <v>377.52316000000002</v>
      </c>
      <c r="C22" s="168">
        <f t="shared" si="7"/>
        <v>0.61167217909127714</v>
      </c>
      <c r="D22" s="30"/>
      <c r="E22" s="30"/>
      <c r="F22" s="30"/>
      <c r="G22" s="30"/>
      <c r="H22" s="30"/>
      <c r="I22" s="30"/>
      <c r="J22" s="30"/>
      <c r="K22" s="8"/>
    </row>
    <row r="23" spans="1:11" x14ac:dyDescent="0.25">
      <c r="A23" s="222" t="s">
        <v>3</v>
      </c>
      <c r="B23" s="168">
        <f t="shared" si="7"/>
        <v>7815.0502820000011</v>
      </c>
      <c r="C23" s="168">
        <f t="shared" si="7"/>
        <v>12.662133988544811</v>
      </c>
      <c r="D23" s="264" t="s">
        <v>47</v>
      </c>
      <c r="E23" s="264"/>
      <c r="F23" s="30"/>
      <c r="G23" s="30"/>
      <c r="H23" s="30"/>
      <c r="I23" s="30"/>
      <c r="J23" s="30"/>
      <c r="K23" s="8"/>
    </row>
    <row r="24" spans="1:11" x14ac:dyDescent="0.25">
      <c r="A24" s="222" t="s">
        <v>4</v>
      </c>
      <c r="B24" s="168">
        <f t="shared" si="7"/>
        <v>18176.618667639395</v>
      </c>
      <c r="C24" s="168">
        <f t="shared" si="7"/>
        <v>29.450198363846543</v>
      </c>
      <c r="D24" s="223" t="s">
        <v>40</v>
      </c>
      <c r="E24" s="223" t="s">
        <v>39</v>
      </c>
      <c r="F24" s="30"/>
      <c r="G24" s="30"/>
      <c r="H24" s="30"/>
      <c r="I24" s="30"/>
      <c r="J24" s="30"/>
      <c r="K24" s="8"/>
    </row>
    <row r="25" spans="1:11" x14ac:dyDescent="0.25">
      <c r="A25" s="222" t="s">
        <v>19</v>
      </c>
      <c r="B25" s="168">
        <f t="shared" si="7"/>
        <v>71.509755600000005</v>
      </c>
      <c r="C25" s="168">
        <f t="shared" si="7"/>
        <v>0.11586184019580856</v>
      </c>
      <c r="D25" s="24">
        <f>B24+B25</f>
        <v>18248.128423239395</v>
      </c>
      <c r="E25" s="24">
        <f>C24+C25</f>
        <v>29.566060204042351</v>
      </c>
      <c r="F25" s="30"/>
      <c r="G25" s="30"/>
      <c r="H25" s="30"/>
      <c r="I25" s="30"/>
      <c r="J25" s="30"/>
      <c r="K25" s="8"/>
    </row>
    <row r="26" spans="1:11" s="163" customFormat="1" x14ac:dyDescent="0.25">
      <c r="A26" s="224" t="s">
        <v>167</v>
      </c>
      <c r="B26" s="168">
        <f t="shared" si="7"/>
        <v>15742.64594</v>
      </c>
      <c r="C26" s="168">
        <f t="shared" si="7"/>
        <v>25.506616724606374</v>
      </c>
      <c r="D26" s="168"/>
      <c r="E26" s="168"/>
      <c r="F26" s="51"/>
      <c r="G26" s="51"/>
      <c r="H26" s="51"/>
      <c r="I26" s="51"/>
      <c r="J26" s="51"/>
      <c r="K26" s="43"/>
    </row>
    <row r="27" spans="1:11" x14ac:dyDescent="0.25">
      <c r="A27" s="222" t="s">
        <v>40</v>
      </c>
      <c r="B27" s="22">
        <f>SUM(B20:B26)</f>
        <v>61719.851401589389</v>
      </c>
      <c r="C27" s="22">
        <f>SUM(C20:C26)</f>
        <v>100.00000000000001</v>
      </c>
      <c r="D27" s="30"/>
      <c r="E27" s="30"/>
      <c r="F27" s="30"/>
      <c r="G27" s="30"/>
      <c r="H27" s="30"/>
      <c r="I27" s="30"/>
      <c r="J27" s="30"/>
      <c r="K27" s="8"/>
    </row>
  </sheetData>
  <mergeCells count="4">
    <mergeCell ref="A18:C18"/>
    <mergeCell ref="D23:E23"/>
    <mergeCell ref="A1:K1"/>
    <mergeCell ref="A13:J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</vt:i4>
      </vt:variant>
    </vt:vector>
  </HeadingPairs>
  <TitlesOfParts>
    <vt:vector size="25" baseType="lpstr">
      <vt:lpstr>zużycie całkowite i emisja</vt:lpstr>
      <vt:lpstr>oświetlenie</vt:lpstr>
      <vt:lpstr>publiczne</vt:lpstr>
      <vt:lpstr>transport gminny</vt:lpstr>
      <vt:lpstr>mieszkalne</vt:lpstr>
      <vt:lpstr>handel usługi przed.</vt:lpstr>
      <vt:lpstr>przemysłowe</vt:lpstr>
      <vt:lpstr>zestawienie zużycie</vt:lpstr>
      <vt:lpstr>zestawienie emisja CO2</vt:lpstr>
      <vt:lpstr>zestawienie emisja SO2</vt:lpstr>
      <vt:lpstr>zestawienie emisja NOx</vt:lpstr>
      <vt:lpstr>zestawienie emisja PM10</vt:lpstr>
      <vt:lpstr>zestawienie emisja PM2,5</vt:lpstr>
      <vt:lpstr>zestawienie emisja B(a)P</vt:lpstr>
      <vt:lpstr>zadanie 10</vt:lpstr>
      <vt:lpstr>zadanie 11</vt:lpstr>
      <vt:lpstr>zadanie 12</vt:lpstr>
      <vt:lpstr>zadanie 13</vt:lpstr>
      <vt:lpstr>zadanie 14, 15</vt:lpstr>
      <vt:lpstr>zadanie 16</vt:lpstr>
      <vt:lpstr>zadanie 17</vt:lpstr>
      <vt:lpstr>zadanie 18</vt:lpstr>
      <vt:lpstr>zadanie 19</vt:lpstr>
      <vt:lpstr>SUMY EFEKTÓW DLA DZIAŁAŃ</vt:lpstr>
      <vt:lpstr>'SUMY EFEKTÓW DLA DZIAŁAŃ'!_Hlk457390497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2015-05-25T14:16:38Z</dcterms:created>
  <dcterms:modified xsi:type="dcterms:W3CDTF">2019-02-07T14:27:43Z</dcterms:modified>
</cp:coreProperties>
</file>